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boards\power_supply\design\"/>
    </mc:Choice>
  </mc:AlternateContent>
  <xr:revisionPtr revIDLastSave="0" documentId="13_ncr:1_{2848D013-653F-47F8-8A73-07BACD872E8D}"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08" yWindow="-108" windowWidth="23256" windowHeight="13896"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341" i="29"/>
  <c r="M582" i="29"/>
  <c r="M486" i="29"/>
  <c r="N549" i="29"/>
  <c r="N476" i="29"/>
  <c r="N470" i="29"/>
  <c r="N418" i="29"/>
  <c r="M462" i="29"/>
  <c r="M451" i="29"/>
  <c r="M394" i="29"/>
  <c r="N110" i="25"/>
  <c r="L110" i="25"/>
  <c r="L131" i="25"/>
  <c r="N116" i="25"/>
  <c r="L166" i="25"/>
  <c r="N227" i="29"/>
  <c r="N497" i="29"/>
  <c r="N365" i="29"/>
  <c r="M260" i="29"/>
  <c r="M49"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46" i="29"/>
  <c r="N20" i="29"/>
  <c r="M323" i="29"/>
  <c r="M82" i="29"/>
  <c r="N103" i="29"/>
  <c r="N241" i="29"/>
  <c r="N203" i="29"/>
  <c r="M405" i="29"/>
  <c r="M362" i="29"/>
  <c r="M339" i="29"/>
  <c r="N317" i="29"/>
  <c r="M523" i="29"/>
  <c r="M470" i="29"/>
  <c r="M303" i="29"/>
  <c r="N309" i="29"/>
  <c r="BM124" i="24"/>
  <c r="N401" i="29"/>
  <c r="N525" i="29"/>
  <c r="M577" i="29"/>
  <c r="N406" i="29"/>
  <c r="M345" i="29"/>
  <c r="M471" i="29"/>
  <c r="N550" i="29"/>
  <c r="N13" i="29"/>
  <c r="M52" i="29"/>
  <c r="M442" i="29"/>
  <c r="N276" i="29"/>
  <c r="M73" i="29"/>
  <c r="V570" i="29"/>
  <c r="V596" i="29"/>
  <c r="Y4" i="29"/>
  <c r="M154" i="24"/>
  <c r="N154" i="24" s="1"/>
  <c r="P154" i="24" s="1"/>
  <c r="M602" i="29"/>
  <c r="M275" i="29"/>
  <c r="M389" i="29"/>
  <c r="M454" i="29"/>
  <c r="M469" i="29"/>
  <c r="N319" i="29"/>
  <c r="N485" i="29"/>
  <c r="N440" i="29"/>
  <c r="N454" i="29"/>
  <c r="N195" i="29"/>
  <c r="M23" i="29"/>
  <c r="M137" i="29"/>
  <c r="M395" i="29"/>
  <c r="N474" i="29"/>
  <c r="M113" i="29"/>
  <c r="M156"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233" i="29"/>
  <c r="N135" i="29"/>
  <c r="M120" i="29"/>
  <c r="N273" i="29"/>
  <c r="M222" i="29"/>
  <c r="M256" i="29"/>
  <c r="N208" i="29"/>
  <c r="N471" i="29"/>
  <c r="M428" i="29"/>
  <c r="M381" i="29"/>
  <c r="M246" i="29"/>
  <c r="N77" i="29"/>
  <c r="N242" i="29"/>
  <c r="M191" i="29"/>
  <c r="N139" i="29"/>
  <c r="N332" i="29"/>
  <c r="M194" i="29"/>
  <c r="N90" i="29"/>
  <c r="M413" i="29"/>
  <c r="N229" i="29"/>
  <c r="M382" i="29"/>
  <c r="N49" i="29"/>
  <c r="N274" i="29"/>
  <c r="N171" i="29"/>
  <c r="M124" i="29"/>
  <c r="M270" i="29"/>
  <c r="N226" i="29"/>
  <c r="N105" i="29"/>
  <c r="M54" i="29"/>
  <c r="N173" i="29"/>
  <c r="M347" i="29"/>
  <c r="N295" i="29"/>
  <c r="M248" i="29"/>
  <c r="N341" i="29"/>
  <c r="M290" i="29"/>
  <c r="M195" i="29"/>
  <c r="N219" i="29"/>
  <c r="M208" i="29"/>
  <c r="N370" i="29"/>
  <c r="M18" i="29"/>
  <c r="M510" i="29"/>
  <c r="N177" i="29"/>
  <c r="M126" i="29"/>
  <c r="N82" i="29"/>
  <c r="N278" i="29"/>
  <c r="M338" i="29"/>
  <c r="N174" i="29"/>
  <c r="N342" i="29"/>
  <c r="M291" i="29"/>
  <c r="N239" i="29"/>
  <c r="N144" i="29"/>
  <c r="M38" i="29"/>
  <c r="M447" i="29"/>
  <c r="N407" i="29"/>
  <c r="M364"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106" i="29"/>
  <c r="N334" i="29"/>
  <c r="M251" i="29"/>
  <c r="N213" i="29"/>
  <c r="N54" i="29"/>
  <c r="M332" i="29"/>
  <c r="N249" i="29"/>
  <c r="M39" i="29"/>
  <c r="N494"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N380" i="29" l="1"/>
  <c r="N387" i="29"/>
  <c r="M177" i="29"/>
  <c r="M400" i="29"/>
  <c r="M377" i="29"/>
  <c r="M560" i="29"/>
  <c r="M444" i="29"/>
  <c r="M438" i="29"/>
  <c r="M330" i="29"/>
  <c r="M466" i="29"/>
  <c r="M192" i="29"/>
  <c r="N232" i="29"/>
  <c r="X232" i="29" s="1"/>
  <c r="Y232" i="29" s="1"/>
  <c r="N110" i="29"/>
  <c r="N136" i="29"/>
  <c r="N498" i="29"/>
  <c r="N70" i="29"/>
  <c r="N36" i="29"/>
  <c r="X36" i="29" s="1"/>
  <c r="Y36" i="29" s="1"/>
  <c r="M361" i="29"/>
  <c r="N602" i="29"/>
  <c r="M14" i="29"/>
  <c r="M532" i="29"/>
  <c r="M241" i="29"/>
  <c r="M610" i="29"/>
  <c r="N209" i="29"/>
  <c r="N198" i="29"/>
  <c r="M305" i="29"/>
  <c r="M562" i="29"/>
  <c r="W562" i="29" s="1"/>
  <c r="M295" i="29"/>
  <c r="W295" i="29" s="1"/>
  <c r="M255" i="29"/>
  <c r="M84" i="29"/>
  <c r="N156" i="29"/>
  <c r="M528" i="29"/>
  <c r="N88" i="29"/>
  <c r="M374" i="29"/>
  <c r="M506" i="29"/>
  <c r="N589" i="29"/>
  <c r="N569" i="29"/>
  <c r="N247" i="29"/>
  <c r="N196" i="29"/>
  <c r="N140" i="29"/>
  <c r="M542" i="29"/>
  <c r="AG542" i="29" s="1"/>
  <c r="M509" i="29"/>
  <c r="M225" i="29"/>
  <c r="N316" i="29"/>
  <c r="M294" i="29"/>
  <c r="M455" i="29"/>
  <c r="N281" i="29"/>
  <c r="M533" i="29"/>
  <c r="M494" i="29"/>
  <c r="N95" i="29"/>
  <c r="M21" i="29"/>
  <c r="W21" i="29" s="1"/>
  <c r="AA21" i="29" s="1"/>
  <c r="N30" i="29"/>
  <c r="M359" i="29"/>
  <c r="N415" i="29"/>
  <c r="AH415" i="29" s="1"/>
  <c r="M220" i="29"/>
  <c r="W220" i="29" s="1"/>
  <c r="N296" i="29"/>
  <c r="AH296" i="29" s="1"/>
  <c r="M588" i="29"/>
  <c r="M108" i="29"/>
  <c r="N28" i="29"/>
  <c r="M111" i="29"/>
  <c r="M132" i="29"/>
  <c r="AG132" i="29" s="1"/>
  <c r="M16" i="29"/>
  <c r="N585" i="29"/>
  <c r="M429" i="29"/>
  <c r="AG429" i="29" s="1"/>
  <c r="N86" i="29"/>
  <c r="N461" i="29"/>
  <c r="N340" i="29"/>
  <c r="M153" i="29"/>
  <c r="N214" i="29"/>
  <c r="N179" i="29"/>
  <c r="M407" i="29"/>
  <c r="N299" i="29"/>
  <c r="M123" i="29"/>
  <c r="M172" i="29"/>
  <c r="N123" i="29"/>
  <c r="N272" i="29"/>
  <c r="M206" i="29"/>
  <c r="N328" i="29"/>
  <c r="X328" i="29" s="1"/>
  <c r="Y328" i="29" s="1"/>
  <c r="M261" i="29"/>
  <c r="M355" i="29"/>
  <c r="N404" i="29"/>
  <c r="M356" i="29"/>
  <c r="N108" i="29"/>
  <c r="M443" i="29"/>
  <c r="M549" i="29"/>
  <c r="N93" i="29"/>
  <c r="N237" i="29"/>
  <c r="M50" i="29"/>
  <c r="N246" i="29"/>
  <c r="N76" i="29"/>
  <c r="N44" i="29"/>
  <c r="N303" i="29"/>
  <c r="N126" i="29"/>
  <c r="M440" i="29"/>
  <c r="N24" i="29"/>
  <c r="AH24" i="29" s="1"/>
  <c r="N416" i="29"/>
  <c r="M368" i="29"/>
  <c r="M363" i="29"/>
  <c r="N234" i="29"/>
  <c r="M193" i="29"/>
  <c r="M227" i="29"/>
  <c r="M434" i="29"/>
  <c r="AG434" i="29" s="1"/>
  <c r="M34" i="29"/>
  <c r="M271" i="29"/>
  <c r="AG271" i="29" s="1"/>
  <c r="N248" i="29"/>
  <c r="M460" i="29"/>
  <c r="AG460" i="29" s="1"/>
  <c r="M146" i="29"/>
  <c r="M606" i="29"/>
  <c r="N35" i="29"/>
  <c r="N607" i="29"/>
  <c r="N253" i="29"/>
  <c r="AH253" i="29" s="1"/>
  <c r="N605" i="29"/>
  <c r="M253" i="29"/>
  <c r="W253" i="29" s="1"/>
  <c r="AA253" i="29" s="1"/>
  <c r="N389" i="29"/>
  <c r="AH389" i="29" s="1"/>
  <c r="N168" i="29"/>
  <c r="M209" i="29"/>
  <c r="M461" i="29"/>
  <c r="N580" i="29"/>
  <c r="N310" i="29"/>
  <c r="AH310" i="29" s="1"/>
  <c r="N98" i="29"/>
  <c r="M31" i="29"/>
  <c r="N175" i="29"/>
  <c r="M43" i="29"/>
  <c r="M543" i="29"/>
  <c r="N197" i="29"/>
  <c r="N72" i="29"/>
  <c r="AH72" i="29" s="1"/>
  <c r="M490" i="29"/>
  <c r="M373" i="29"/>
  <c r="M366" i="29"/>
  <c r="N275" i="29"/>
  <c r="M298" i="29"/>
  <c r="AG298" i="29" s="1"/>
  <c r="N369" i="29"/>
  <c r="X369" i="29" s="1"/>
  <c r="Y369" i="29" s="1"/>
  <c r="M539" i="29"/>
  <c r="N574" i="29"/>
  <c r="M573" i="29"/>
  <c r="M297" i="29"/>
  <c r="N78" i="29"/>
  <c r="N71" i="29"/>
  <c r="N31" i="29"/>
  <c r="M122" i="29"/>
  <c r="N337" i="29"/>
  <c r="AH337" i="29" s="1"/>
  <c r="M92" i="29"/>
  <c r="N257" i="29"/>
  <c r="X257" i="29" s="1"/>
  <c r="Y257" i="29" s="1"/>
  <c r="M401" i="29"/>
  <c r="AG401" i="29" s="1"/>
  <c r="M313" i="29"/>
  <c r="W313" i="29" s="1"/>
  <c r="AA313" i="29" s="1"/>
  <c r="N228" i="29"/>
  <c r="N508" i="29"/>
  <c r="N62" i="29"/>
  <c r="N562" i="29"/>
  <c r="AH562" i="29" s="1"/>
  <c r="N360" i="29"/>
  <c r="N538" i="29"/>
  <c r="N192" i="29"/>
  <c r="N115" i="29"/>
  <c r="N89" i="29"/>
  <c r="M371" i="29"/>
  <c r="W371" i="29" s="1"/>
  <c r="AA371" i="29" s="1"/>
  <c r="N446" i="29"/>
  <c r="M245" i="29"/>
  <c r="N567" i="29"/>
  <c r="X567" i="29" s="1"/>
  <c r="Y567" i="29" s="1"/>
  <c r="N381" i="29"/>
  <c r="N258" i="29"/>
  <c r="AH258" i="29" s="1"/>
  <c r="M272" i="29"/>
  <c r="M436" i="29"/>
  <c r="M205" i="29"/>
  <c r="M354" i="29"/>
  <c r="AG354" i="29" s="1"/>
  <c r="N161" i="29"/>
  <c r="M322" i="29"/>
  <c r="AG322" i="29" s="1"/>
  <c r="M136" i="29"/>
  <c r="M342" i="29"/>
  <c r="W342" i="29" s="1"/>
  <c r="M318" i="29"/>
  <c r="N245" i="29"/>
  <c r="M511" i="29"/>
  <c r="M187" i="29"/>
  <c r="N84" i="29"/>
  <c r="N432" i="29"/>
  <c r="M215" i="29"/>
  <c r="M185" i="29"/>
  <c r="M198" i="29"/>
  <c r="N412" i="29"/>
  <c r="N176" i="29"/>
  <c r="M553" i="29"/>
  <c r="M554" i="29"/>
  <c r="M62" i="29"/>
  <c r="W62" i="29" s="1"/>
  <c r="AA62" i="29" s="1"/>
  <c r="N252" i="29"/>
  <c r="N37" i="29"/>
  <c r="M426" i="29"/>
  <c r="M24" i="29"/>
  <c r="N69" i="29"/>
  <c r="N53" i="29"/>
  <c r="M175" i="29"/>
  <c r="N590" i="29"/>
  <c r="N297" i="29"/>
  <c r="N15" i="29"/>
  <c r="N301" i="29"/>
  <c r="M375" i="29"/>
  <c r="N429" i="29"/>
  <c r="M257" i="29"/>
  <c r="M581" i="29"/>
  <c r="N18" i="29"/>
  <c r="M279" i="29"/>
  <c r="AG279" i="29" s="1"/>
  <c r="N21" i="29"/>
  <c r="M276" i="29"/>
  <c r="M148" i="29"/>
  <c r="N519" i="29"/>
  <c r="N211" i="29"/>
  <c r="N155" i="29"/>
  <c r="M478" i="29"/>
  <c r="M422" i="29"/>
  <c r="M66" i="29"/>
  <c r="N129" i="29"/>
  <c r="N327" i="29"/>
  <c r="M170" i="29"/>
  <c r="N172" i="29"/>
  <c r="M326" i="29"/>
  <c r="AG326" i="29" s="1"/>
  <c r="N33" i="29"/>
  <c r="N109" i="29"/>
  <c r="N91" i="29"/>
  <c r="AH91" i="29" s="1"/>
  <c r="N305" i="29"/>
  <c r="AH305" i="29" s="1"/>
  <c r="N558" i="29"/>
  <c r="N118" i="29"/>
  <c r="N165" i="29"/>
  <c r="N130" i="29"/>
  <c r="M331" i="29"/>
  <c r="N467" i="29"/>
  <c r="N427" i="29"/>
  <c r="N570" i="29"/>
  <c r="M141" i="29"/>
  <c r="M537" i="29"/>
  <c r="N546" i="29"/>
  <c r="N402" i="29"/>
  <c r="X402" i="29" s="1"/>
  <c r="Y402" i="29" s="1"/>
  <c r="N292" i="29"/>
  <c r="N490" i="29"/>
  <c r="N185" i="29"/>
  <c r="M22" i="29"/>
  <c r="N351" i="29"/>
  <c r="M249" i="29"/>
  <c r="N434" i="29"/>
  <c r="AH434" i="29" s="1"/>
  <c r="M406" i="29"/>
  <c r="N320" i="29"/>
  <c r="M607" i="29"/>
  <c r="M280" i="29"/>
  <c r="W280" i="29" s="1"/>
  <c r="N321" i="29"/>
  <c r="M116" i="29"/>
  <c r="M239" i="29"/>
  <c r="AG239" i="29" s="1"/>
  <c r="N264" i="29"/>
  <c r="M264" i="29"/>
  <c r="N117" i="29"/>
  <c r="N112" i="29"/>
  <c r="N39" i="29"/>
  <c r="X39" i="29" s="1"/>
  <c r="Y39" i="29" s="1"/>
  <c r="N314" i="29"/>
  <c r="M188" i="29"/>
  <c r="M445" i="29"/>
  <c r="AG445" i="29" s="1"/>
  <c r="N16" i="29"/>
  <c r="M278" i="29"/>
  <c r="AG278" i="29" s="1"/>
  <c r="M143" i="29"/>
  <c r="AG143" i="29" s="1"/>
  <c r="M219" i="29"/>
  <c r="M570" i="29"/>
  <c r="W570" i="29" s="1"/>
  <c r="M162" i="29"/>
  <c r="M72" i="29"/>
  <c r="M204" i="29"/>
  <c r="AG204" i="29" s="1"/>
  <c r="N455" i="29"/>
  <c r="M568" i="29"/>
  <c r="M536" i="29"/>
  <c r="M491" i="29"/>
  <c r="AG491" i="29" s="1"/>
  <c r="N166" i="29"/>
  <c r="N532" i="29"/>
  <c r="N515" i="29"/>
  <c r="M199" i="29"/>
  <c r="M129" i="29"/>
  <c r="N479" i="29"/>
  <c r="M55" i="29"/>
  <c r="AG55" i="29" s="1"/>
  <c r="M98" i="29"/>
  <c r="N459" i="29"/>
  <c r="M211" i="29"/>
  <c r="M477" i="29"/>
  <c r="N131" i="29"/>
  <c r="N357" i="29"/>
  <c r="AH357" i="29" s="1"/>
  <c r="M517" i="29"/>
  <c r="N250" i="29"/>
  <c r="N43" i="29"/>
  <c r="N101" i="29"/>
  <c r="M254" i="29"/>
  <c r="N158" i="29"/>
  <c r="AH158" i="29" s="1"/>
  <c r="N482" i="29"/>
  <c r="AH482" i="29" s="1"/>
  <c r="N464" i="29"/>
  <c r="N399" i="29"/>
  <c r="M144" i="29"/>
  <c r="AG144" i="29" s="1"/>
  <c r="N346" i="29"/>
  <c r="AH346" i="29" s="1"/>
  <c r="N206" i="29"/>
  <c r="M417" i="29"/>
  <c r="AG417" i="29" s="1"/>
  <c r="M293" i="29"/>
  <c r="N322" i="29"/>
  <c r="M344" i="29"/>
  <c r="N23" i="29"/>
  <c r="M63" i="29"/>
  <c r="M160" i="29"/>
  <c r="M91" i="29"/>
  <c r="AG91" i="29" s="1"/>
  <c r="M161" i="29"/>
  <c r="N235" i="29"/>
  <c r="M492" i="29"/>
  <c r="M32" i="29"/>
  <c r="N329" i="29"/>
  <c r="X329" i="29" s="1"/>
  <c r="Y329" i="29" s="1"/>
  <c r="N194" i="29"/>
  <c r="N270" i="29"/>
  <c r="N56" i="29"/>
  <c r="X56" i="29" s="1"/>
  <c r="Y56" i="29" s="1"/>
  <c r="N107" i="29"/>
  <c r="M103" i="29"/>
  <c r="M166" i="29"/>
  <c r="M380" i="29"/>
  <c r="M561" i="29"/>
  <c r="M147" i="29"/>
  <c r="N189" i="29"/>
  <c r="M81" i="29"/>
  <c r="N160" i="29"/>
  <c r="M600" i="29"/>
  <c r="M100" i="29"/>
  <c r="N582" i="29"/>
  <c r="X582" i="29" s="1"/>
  <c r="Y582" i="29" s="1"/>
  <c r="M78" i="29"/>
  <c r="N285" i="29"/>
  <c r="M316" i="29"/>
  <c r="N430" i="29"/>
  <c r="M516" i="29"/>
  <c r="W516" i="29" s="1"/>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X533" i="29" s="1"/>
  <c r="Y533" i="29" s="1"/>
  <c r="M321" i="29"/>
  <c r="N431" i="29"/>
  <c r="N149" i="29"/>
  <c r="M483" i="29"/>
  <c r="N154" i="29"/>
  <c r="N282" i="29"/>
  <c r="AH282" i="29" s="1"/>
  <c r="M244" i="29"/>
  <c r="M289" i="29"/>
  <c r="M500" i="29"/>
  <c r="M104" i="29"/>
  <c r="M311" i="29"/>
  <c r="AG311" i="29" s="1"/>
  <c r="M572" i="29"/>
  <c r="M415" i="29"/>
  <c r="W415" i="29" s="1"/>
  <c r="M130" i="29"/>
  <c r="M154" i="29"/>
  <c r="M110" i="29"/>
  <c r="M312" i="29"/>
  <c r="M319" i="29"/>
  <c r="M157" i="29"/>
  <c r="N290" i="29"/>
  <c r="AH290" i="29" s="1"/>
  <c r="M59" i="29"/>
  <c r="N343" i="29"/>
  <c r="M223" i="29"/>
  <c r="AG223" i="29" s="1"/>
  <c r="N503" i="29"/>
  <c r="M578" i="29"/>
  <c r="N102" i="29"/>
  <c r="N162" i="29"/>
  <c r="M93" i="29"/>
  <c r="AG93" i="29" s="1"/>
  <c r="M386" i="29"/>
  <c r="N218" i="29"/>
  <c r="M458" i="29"/>
  <c r="AG458" i="29" s="1"/>
  <c r="N581" i="29"/>
  <c r="N612" i="29"/>
  <c r="N375" i="29"/>
  <c r="M367" i="29"/>
  <c r="M601" i="29"/>
  <c r="M20" i="29"/>
  <c r="N65" i="29"/>
  <c r="AH65" i="29" s="1"/>
  <c r="M75" i="29"/>
  <c r="M487" i="29"/>
  <c r="N141" i="29"/>
  <c r="M140" i="29"/>
  <c r="N413" i="29"/>
  <c r="N376" i="29"/>
  <c r="M327" i="29"/>
  <c r="M388" i="29"/>
  <c r="N361" i="29"/>
  <c r="M393" i="29"/>
  <c r="U415" i="29"/>
  <c r="V415" i="29"/>
  <c r="U395" i="29"/>
  <c r="V395" i="29"/>
  <c r="U470" i="29"/>
  <c r="V470" i="29"/>
  <c r="V238" i="29"/>
  <c r="U238" i="29"/>
  <c r="V70" i="29"/>
  <c r="U70" i="29"/>
  <c r="V209" i="29"/>
  <c r="U209" i="29"/>
  <c r="U263" i="29"/>
  <c r="V263" i="29"/>
  <c r="U611" i="29"/>
  <c r="V611" i="29"/>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V24" i="29"/>
  <c r="AO60" i="29"/>
  <c r="AO200" i="29"/>
  <c r="AO33" i="29"/>
  <c r="T494" i="29"/>
  <c r="T568" i="29"/>
  <c r="S168" i="29"/>
  <c r="T422" i="29"/>
  <c r="AE422" i="29" s="1"/>
  <c r="T503" i="29"/>
  <c r="T609" i="29"/>
  <c r="T375" i="29"/>
  <c r="T512" i="29"/>
  <c r="S605" i="29"/>
  <c r="S468" i="29"/>
  <c r="T377" i="29"/>
  <c r="T540" i="29"/>
  <c r="AE540" i="29" s="1"/>
  <c r="T379" i="29"/>
  <c r="U293" i="29"/>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S63" i="29"/>
  <c r="U482" i="29"/>
  <c r="S95" i="29"/>
  <c r="AD95" i="29" s="1"/>
  <c r="S115" i="29"/>
  <c r="S367" i="29"/>
  <c r="AD367" i="29" s="1"/>
  <c r="U347" i="29"/>
  <c r="V93" i="29"/>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AG230" i="29" s="1"/>
  <c r="M529" i="29"/>
  <c r="M217" i="29"/>
  <c r="M538" i="29"/>
  <c r="N560" i="29"/>
  <c r="N362" i="29"/>
  <c r="N554" i="29"/>
  <c r="M593" i="29"/>
  <c r="W593" i="29" s="1"/>
  <c r="AA593" i="29" s="1"/>
  <c r="M505" i="29"/>
  <c r="M604" i="29"/>
  <c r="AG604" i="29" s="1"/>
  <c r="N371" i="29"/>
  <c r="AH371" i="29" s="1"/>
  <c r="N57" i="29"/>
  <c r="X57" i="29" s="1"/>
  <c r="Y57" i="29" s="1"/>
  <c r="M489" i="29"/>
  <c r="M609" i="29"/>
  <c r="W609" i="29" s="1"/>
  <c r="AA609" i="29" s="1"/>
  <c r="M292" i="29"/>
  <c r="M181" i="29"/>
  <c r="N500" i="29"/>
  <c r="M459" i="29"/>
  <c r="M97" i="29"/>
  <c r="W97" i="29" s="1"/>
  <c r="N556" i="29"/>
  <c r="M567" i="29"/>
  <c r="W567" i="29" s="1"/>
  <c r="AA567" i="29" s="1"/>
  <c r="N577" i="29"/>
  <c r="N339" i="29"/>
  <c r="M87" i="29"/>
  <c r="M385" i="29"/>
  <c r="W385" i="29" s="1"/>
  <c r="AA385" i="29" s="1"/>
  <c r="M228" i="29"/>
  <c r="N132" i="29"/>
  <c r="AH132" i="29" s="1"/>
  <c r="N524" i="29"/>
  <c r="M197" i="29"/>
  <c r="N83" i="29"/>
  <c r="N452" i="29"/>
  <c r="N55" i="29"/>
  <c r="AH55" i="29" s="1"/>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W77" i="29" s="1"/>
  <c r="AA77" i="29" s="1"/>
  <c r="M586" i="29"/>
  <c r="N308" i="29"/>
  <c r="AO366" i="29"/>
  <c r="AO386" i="29"/>
  <c r="AO435" i="29"/>
  <c r="U435" i="29" s="1"/>
  <c r="AO213" i="29"/>
  <c r="U467" i="29"/>
  <c r="V467" i="29"/>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AG334" i="29" s="1"/>
  <c r="N338" i="29"/>
  <c r="N125" i="29"/>
  <c r="N182" i="29"/>
  <c r="N231" i="29"/>
  <c r="N352" i="29"/>
  <c r="M288" i="29"/>
  <c r="W288" i="29" s="1"/>
  <c r="N17" i="29"/>
  <c r="M526" i="29"/>
  <c r="M530" i="29"/>
  <c r="W530" i="29" s="1"/>
  <c r="N181" i="29"/>
  <c r="N238" i="29"/>
  <c r="X238" i="29" s="1"/>
  <c r="Y238" i="29" s="1"/>
  <c r="N81" i="29"/>
  <c r="M179" i="29"/>
  <c r="M168" i="29"/>
  <c r="W168" i="29" s="1"/>
  <c r="AA168" i="29" s="1"/>
  <c r="N559" i="29"/>
  <c r="M378" i="29"/>
  <c r="M541" i="29"/>
  <c r="N460" i="29"/>
  <c r="N29" i="29"/>
  <c r="X29" i="29" s="1"/>
  <c r="Y29" i="29" s="1"/>
  <c r="N392" i="29"/>
  <c r="M464" i="29"/>
  <c r="N481" i="29"/>
  <c r="N433" i="29"/>
  <c r="N572" i="29"/>
  <c r="M387" i="29"/>
  <c r="N478" i="29"/>
  <c r="N386" i="29"/>
  <c r="M576" i="29"/>
  <c r="N75" i="29"/>
  <c r="N25" i="29"/>
  <c r="N353" i="29"/>
  <c r="AH353" i="29" s="1"/>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AG282" i="29" s="1"/>
  <c r="N263" i="29"/>
  <c r="N312" i="29"/>
  <c r="N336" i="29"/>
  <c r="M484" i="29"/>
  <c r="AG484" i="29" s="1"/>
  <c r="M499" i="29"/>
  <c r="N489" i="29"/>
  <c r="AH489" i="29" s="1"/>
  <c r="M456" i="29"/>
  <c r="W456" i="29" s="1"/>
  <c r="M242" i="29"/>
  <c r="W242" i="29" s="1"/>
  <c r="AA242" i="29" s="1"/>
  <c r="N330" i="29"/>
  <c r="N551" i="29"/>
  <c r="M557" i="29"/>
  <c r="N528" i="29"/>
  <c r="M176" i="29"/>
  <c r="N537" i="29"/>
  <c r="M329" i="29"/>
  <c r="M399" i="29"/>
  <c r="N395" i="29"/>
  <c r="AH395" i="29" s="1"/>
  <c r="M565" i="29"/>
  <c r="M574" i="29"/>
  <c r="N439" i="29"/>
  <c r="U599" i="29"/>
  <c r="U372" i="29"/>
  <c r="M423" i="29"/>
  <c r="M285" i="29"/>
  <c r="N477" i="29"/>
  <c r="N92" i="29"/>
  <c r="M265" i="29"/>
  <c r="W265" i="29" s="1"/>
  <c r="AA265" i="29" s="1"/>
  <c r="M79" i="29"/>
  <c r="M597" i="29"/>
  <c r="M15" i="29"/>
  <c r="W15" i="29" s="1"/>
  <c r="AA15" i="29" s="1"/>
  <c r="M117" i="29"/>
  <c r="M497" i="29"/>
  <c r="AG497" i="29" s="1"/>
  <c r="AO69" i="29"/>
  <c r="AO38" i="29"/>
  <c r="AO25" i="29"/>
  <c r="AO175" i="29"/>
  <c r="AO99" i="29"/>
  <c r="N279" i="29"/>
  <c r="X279" i="29" s="1"/>
  <c r="Y279" i="29" s="1"/>
  <c r="M320" i="29"/>
  <c r="M286" i="29"/>
  <c r="N134" i="29"/>
  <c r="N326" i="29"/>
  <c r="AH326" i="29" s="1"/>
  <c r="N283" i="29"/>
  <c r="M284" i="29"/>
  <c r="N74" i="29"/>
  <c r="N204" i="29"/>
  <c r="AH204" i="29" s="1"/>
  <c r="N205" i="29"/>
  <c r="M350" i="29"/>
  <c r="N97" i="29"/>
  <c r="X97" i="29" s="1"/>
  <c r="Y97" i="29" s="1"/>
  <c r="M94" i="29"/>
  <c r="N408" i="29"/>
  <c r="AH408" i="29" s="1"/>
  <c r="M594" i="29"/>
  <c r="N277" i="29"/>
  <c r="N302" i="29"/>
  <c r="X302" i="29" s="1"/>
  <c r="Y302" i="29" s="1"/>
  <c r="N215" i="29"/>
  <c r="N47" i="29"/>
  <c r="N104" i="29"/>
  <c r="N287" i="29"/>
  <c r="AH287" i="29" s="1"/>
  <c r="M300" i="29"/>
  <c r="N300" i="29"/>
  <c r="AH300" i="29" s="1"/>
  <c r="N333" i="29"/>
  <c r="X333" i="29" s="1"/>
  <c r="Y333" i="29" s="1"/>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AH447" i="29" s="1"/>
  <c r="M180" i="29"/>
  <c r="M520" i="29"/>
  <c r="N271" i="29"/>
  <c r="N403" i="29"/>
  <c r="AH403" i="29" s="1"/>
  <c r="M28" i="29"/>
  <c r="N294" i="29"/>
  <c r="M95" i="29"/>
  <c r="M69" i="29"/>
  <c r="N603" i="29"/>
  <c r="I477" i="29"/>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I328" i="29"/>
  <c r="J130" i="29"/>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I90" i="29"/>
  <c r="I544" i="29"/>
  <c r="J524" i="29"/>
  <c r="J381" i="29"/>
  <c r="I340" i="29"/>
  <c r="I239" i="29"/>
  <c r="J226" i="29"/>
  <c r="J132" i="29"/>
  <c r="J112" i="29"/>
  <c r="I497" i="29"/>
  <c r="J322" i="29"/>
  <c r="J288" i="29"/>
  <c r="J124" i="29"/>
  <c r="I45" i="29"/>
  <c r="J452" i="29"/>
  <c r="J299" i="29"/>
  <c r="J210" i="29"/>
  <c r="J99" i="29"/>
  <c r="J574" i="29"/>
  <c r="J399" i="29"/>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J341" i="29"/>
  <c r="J241" i="29"/>
  <c r="I188" i="29"/>
  <c r="J174" i="29"/>
  <c r="J533" i="29"/>
  <c r="J344" i="29"/>
  <c r="I249" i="29"/>
  <c r="I563" i="29"/>
  <c r="I396" i="29"/>
  <c r="J246" i="29"/>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I186" i="29"/>
  <c r="J155" i="29"/>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J462" i="29"/>
  <c r="J214" i="29"/>
  <c r="I574" i="29"/>
  <c r="I572" i="29"/>
  <c r="J53" i="29"/>
  <c r="I158" i="29"/>
  <c r="I461" i="29"/>
  <c r="I605" i="29"/>
  <c r="J32" i="29"/>
  <c r="J604" i="29"/>
  <c r="I593" i="29"/>
  <c r="J503" i="29"/>
  <c r="I408" i="29"/>
  <c r="I361" i="29"/>
  <c r="I303" i="29"/>
  <c r="J544" i="29"/>
  <c r="I476" i="29"/>
  <c r="J401" i="29"/>
  <c r="AH401" i="29" s="1"/>
  <c r="I15" i="29"/>
  <c r="I541" i="29"/>
  <c r="I481" i="29"/>
  <c r="I370" i="29"/>
  <c r="I52" i="29"/>
  <c r="I569" i="29"/>
  <c r="J482" i="29"/>
  <c r="I401" i="29"/>
  <c r="I312" i="29"/>
  <c r="J258" i="29"/>
  <c r="J198" i="29"/>
  <c r="I160" i="29"/>
  <c r="J84" i="29"/>
  <c r="J579" i="29"/>
  <c r="J493" i="29"/>
  <c r="I421" i="29"/>
  <c r="I387" i="29"/>
  <c r="I281" i="29"/>
  <c r="J240" i="29"/>
  <c r="J192" i="29"/>
  <c r="J98" i="29"/>
  <c r="J595" i="29"/>
  <c r="J417" i="29"/>
  <c r="I231" i="29"/>
  <c r="I213" i="29"/>
  <c r="J154" i="29"/>
  <c r="I508" i="29"/>
  <c r="J368" i="29"/>
  <c r="I265" i="29"/>
  <c r="J197" i="29"/>
  <c r="J96" i="29"/>
  <c r="J490" i="29"/>
  <c r="I359" i="29"/>
  <c r="J238" i="29"/>
  <c r="I120" i="29"/>
  <c r="I53" i="29"/>
  <c r="J446" i="29"/>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I128" i="29"/>
  <c r="I69" i="29"/>
  <c r="J517" i="29"/>
  <c r="I431" i="29"/>
  <c r="J285" i="29"/>
  <c r="J247" i="29"/>
  <c r="J126" i="29"/>
  <c r="J532" i="29"/>
  <c r="J307" i="29"/>
  <c r="J184" i="29"/>
  <c r="J141" i="29"/>
  <c r="I352" i="29"/>
  <c r="J199" i="29"/>
  <c r="I77" i="29"/>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J373" i="29"/>
  <c r="J252" i="29"/>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J40" i="29"/>
  <c r="I611" i="29"/>
  <c r="J512" i="29"/>
  <c r="I393" i="29"/>
  <c r="J316" i="29"/>
  <c r="I504" i="29"/>
  <c r="J459" i="29"/>
  <c r="I21" i="29"/>
  <c r="J495" i="29"/>
  <c r="J413" i="29"/>
  <c r="J584" i="29"/>
  <c r="J474" i="29"/>
  <c r="J379" i="29"/>
  <c r="I243" i="29"/>
  <c r="I201" i="29"/>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I276" i="29"/>
  <c r="I86" i="29"/>
  <c r="J57" i="29"/>
  <c r="J133" i="29"/>
  <c r="J377" i="29"/>
  <c r="J607" i="29"/>
  <c r="J400" i="29"/>
  <c r="J558" i="29"/>
  <c r="J164" i="29"/>
  <c r="I194" i="29"/>
  <c r="I598" i="29"/>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I429" i="29"/>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J106" i="29"/>
  <c r="I225" i="29"/>
  <c r="I63" i="29"/>
  <c r="J235" i="29"/>
  <c r="I19" i="29"/>
  <c r="I112" i="29"/>
  <c r="I57" i="29"/>
  <c r="J16" i="29"/>
  <c r="I602" i="29"/>
  <c r="I280" i="29"/>
  <c r="I130" i="29"/>
  <c r="I304" i="29"/>
  <c r="I101" i="29"/>
  <c r="I54" i="29"/>
  <c r="I189" i="29"/>
  <c r="I144" i="29"/>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J23" i="29"/>
  <c r="I43" i="29"/>
  <c r="I398" i="29"/>
  <c r="I543" i="29"/>
  <c r="J522" i="29"/>
  <c r="I123" i="29"/>
  <c r="J85" i="29"/>
  <c r="I200" i="29"/>
  <c r="I338" i="29"/>
  <c r="I341" i="29"/>
  <c r="I99" i="29"/>
  <c r="J488" i="29"/>
  <c r="J411" i="29"/>
  <c r="I117" i="29"/>
  <c r="I214" i="29"/>
  <c r="J429" i="29"/>
  <c r="J61" i="29"/>
  <c r="J465" i="29"/>
  <c r="I523" i="29"/>
  <c r="I381" i="29"/>
  <c r="J65" i="29"/>
  <c r="J360" i="29"/>
  <c r="J109" i="29"/>
  <c r="J156" i="29"/>
  <c r="I240" i="29"/>
  <c r="J140" i="29"/>
  <c r="I267" i="29"/>
  <c r="I433" i="29"/>
  <c r="J73" i="29"/>
  <c r="J35" i="29"/>
  <c r="I609" i="29"/>
  <c r="I44" i="29"/>
  <c r="J380" i="29"/>
  <c r="J598" i="29"/>
  <c r="I400" i="29"/>
  <c r="I525" i="29"/>
  <c r="J370" i="29"/>
  <c r="I518" i="29"/>
  <c r="J100" i="29"/>
  <c r="I59" i="29"/>
  <c r="I567" i="29"/>
  <c r="J359" i="29"/>
  <c r="I558" i="29"/>
  <c r="J548" i="29"/>
  <c r="J530" i="29"/>
  <c r="I469" i="29"/>
  <c r="J221" i="29"/>
  <c r="I407" i="29"/>
  <c r="J137" i="29"/>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I374" i="29"/>
  <c r="I373" i="29"/>
  <c r="I257" i="29"/>
  <c r="I395" i="29"/>
  <c r="AG395" i="29" s="1"/>
  <c r="I473" i="29"/>
  <c r="I584" i="29"/>
  <c r="I489" i="29"/>
  <c r="I251" i="29"/>
  <c r="I82" i="29"/>
  <c r="J392" i="29"/>
  <c r="I344" i="29"/>
  <c r="J272" i="29"/>
  <c r="I498" i="29"/>
  <c r="I482" i="29"/>
  <c r="I501" i="29"/>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AH293" i="29" s="1"/>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W403" i="29" s="1"/>
  <c r="AA403" i="29" s="1"/>
  <c r="M595" i="29"/>
  <c r="M592" i="29"/>
  <c r="M155" i="29"/>
  <c r="AG155" i="29" s="1"/>
  <c r="M102" i="29"/>
  <c r="M508" i="29"/>
  <c r="N383" i="29"/>
  <c r="N217" i="29"/>
  <c r="N261" i="29"/>
  <c r="N388" i="29"/>
  <c r="T624" i="29"/>
  <c r="N354" i="29"/>
  <c r="AH354" i="29" s="1"/>
  <c r="M485" i="29"/>
  <c r="N377" i="29"/>
  <c r="AH377" i="29" s="1"/>
  <c r="N472" i="29"/>
  <c r="M608" i="29"/>
  <c r="N588" i="29"/>
  <c r="M408" i="29"/>
  <c r="AG408" i="29" s="1"/>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AO525" i="29"/>
  <c r="U39" i="29"/>
  <c r="V39" i="29"/>
  <c r="AO66" i="29"/>
  <c r="AO198" i="29"/>
  <c r="AH5" i="25"/>
  <c r="N483" i="29"/>
  <c r="N587" i="29"/>
  <c r="AH587" i="29" s="1"/>
  <c r="N243" i="29"/>
  <c r="M281" i="29"/>
  <c r="N553" i="29"/>
  <c r="M89" i="29"/>
  <c r="M414" i="29"/>
  <c r="N100" i="29"/>
  <c r="N516" i="29"/>
  <c r="AH516" i="29" s="1"/>
  <c r="N344" i="29"/>
  <c r="M579" i="29"/>
  <c r="M551" i="29"/>
  <c r="M384" i="29"/>
  <c r="M357" i="29"/>
  <c r="N557" i="29"/>
  <c r="N466" i="29"/>
  <c r="N457" i="29"/>
  <c r="H329" i="25"/>
  <c r="I24" i="8" s="1"/>
  <c r="J24" i="8" s="1"/>
  <c r="I28" i="8"/>
  <c r="L52" i="1"/>
  <c r="L54" i="1" s="1"/>
  <c r="H31" i="8"/>
  <c r="H329" i="24"/>
  <c r="I23" i="8" s="1"/>
  <c r="J23" i="8" s="1"/>
  <c r="U21" i="29"/>
  <c r="V21" i="29"/>
  <c r="U232" i="29"/>
  <c r="U130" i="29"/>
  <c r="V501" i="29"/>
  <c r="U41" i="29"/>
  <c r="V41" i="29"/>
  <c r="U279" i="29"/>
  <c r="V598" i="29"/>
  <c r="V322" i="29"/>
  <c r="V258" i="29"/>
  <c r="U447" i="29"/>
  <c r="V442" i="29"/>
  <c r="U442" i="29"/>
  <c r="AG442" i="29" s="1"/>
  <c r="V401" i="29"/>
  <c r="X401" i="29" s="1"/>
  <c r="Y401" i="29" s="1"/>
  <c r="V468" i="29"/>
  <c r="V88" i="29"/>
  <c r="V311" i="29"/>
  <c r="U542" i="29"/>
  <c r="V495" i="29"/>
  <c r="V452" i="29"/>
  <c r="U510" i="29"/>
  <c r="W510" i="29" s="1"/>
  <c r="V280" i="29"/>
  <c r="V609" i="29"/>
  <c r="U604" i="29"/>
  <c r="V253" i="29"/>
  <c r="V334" i="29"/>
  <c r="U299" i="29"/>
  <c r="V466" i="29"/>
  <c r="U371" i="29"/>
  <c r="V435" i="29"/>
  <c r="V451" i="29"/>
  <c r="V576" i="29"/>
  <c r="AG394" i="29"/>
  <c r="V362" i="29"/>
  <c r="V226" i="29"/>
  <c r="AH226" i="29" s="1"/>
  <c r="U44" i="29"/>
  <c r="V497" i="29"/>
  <c r="V144" i="29"/>
  <c r="U568" i="29"/>
  <c r="U348" i="29"/>
  <c r="U402" i="29"/>
  <c r="U346" i="29"/>
  <c r="U429" i="29"/>
  <c r="V436" i="29"/>
  <c r="V504"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X552" i="29" s="1"/>
  <c r="Y552" i="29" s="1"/>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X436" i="29" s="1"/>
  <c r="Y436" i="29" s="1"/>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AG451" i="29"/>
  <c r="AG486" i="29"/>
  <c r="A241" i="2"/>
  <c r="B241" i="2"/>
  <c r="D44" i="16" s="1"/>
  <c r="C44" i="16"/>
  <c r="J15" i="23"/>
  <c r="K15" i="23" s="1"/>
  <c r="V518" i="29"/>
  <c r="V254" i="29"/>
  <c r="U391" i="29"/>
  <c r="U333" i="29"/>
  <c r="V513" i="29"/>
  <c r="U57" i="29"/>
  <c r="V106" i="29"/>
  <c r="AD624" i="29"/>
  <c r="V551" i="29"/>
  <c r="V77" i="29"/>
  <c r="U516" i="29"/>
  <c r="V13" i="29"/>
  <c r="V164" i="29"/>
  <c r="V278" i="29"/>
  <c r="V193" i="29"/>
  <c r="V547" i="29"/>
  <c r="U267" i="29"/>
  <c r="U540" i="29"/>
  <c r="V540" i="29"/>
  <c r="V245" i="29"/>
  <c r="X88" i="29"/>
  <c r="Y88" i="29" s="1"/>
  <c r="U305" i="29"/>
  <c r="V295" i="29"/>
  <c r="V368" i="29"/>
  <c r="U479" i="29"/>
  <c r="V593" i="29"/>
  <c r="U261" i="29"/>
  <c r="V313" i="29"/>
  <c r="U132" i="29"/>
  <c r="AG602" i="29"/>
  <c r="V485" i="29"/>
  <c r="V326" i="29"/>
  <c r="V67" i="29"/>
  <c r="V599" i="29"/>
  <c r="AH599" i="29" s="1"/>
  <c r="U613" i="29"/>
  <c r="V613" i="29"/>
  <c r="W451" i="29"/>
  <c r="AA451" i="29" s="1"/>
  <c r="W624" i="29"/>
  <c r="J634" i="29" s="1"/>
  <c r="U456" i="29"/>
  <c r="U124" i="29"/>
  <c r="V506" i="29"/>
  <c r="U506" i="29"/>
  <c r="U433" i="29"/>
  <c r="V433" i="29"/>
  <c r="AX6" i="25"/>
  <c r="U500" i="29"/>
  <c r="V500" i="29"/>
  <c r="V503" i="29"/>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V327" i="29"/>
  <c r="U327" i="29"/>
  <c r="BA153" i="24"/>
  <c r="BA161" i="24"/>
  <c r="BA143" i="24"/>
  <c r="BA170" i="24"/>
  <c r="BA234" i="24"/>
  <c r="BA168" i="24"/>
  <c r="BA158" i="24"/>
  <c r="BA223" i="24"/>
  <c r="BA149" i="24"/>
  <c r="BA206" i="24"/>
  <c r="BA229" i="24"/>
  <c r="BA195" i="24"/>
  <c r="BA131" i="24"/>
  <c r="BA276" i="24"/>
  <c r="U206" i="29"/>
  <c r="V206" i="29"/>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362" i="29"/>
  <c r="AG470" i="29"/>
  <c r="AH93" i="29"/>
  <c r="W193" i="29"/>
  <c r="AA193" i="29" s="1"/>
  <c r="W627" i="29"/>
  <c r="W260" i="29"/>
  <c r="AA260" i="29" s="1"/>
  <c r="AG469" i="29"/>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L300" i="25"/>
  <c r="U369" i="29"/>
  <c r="V65" i="29"/>
  <c r="U65" i="29"/>
  <c r="U488" i="29"/>
  <c r="V488" i="29"/>
  <c r="U100" i="29"/>
  <c r="V100" i="29"/>
  <c r="V283" i="29"/>
  <c r="U283" i="29"/>
  <c r="BQ187" i="25"/>
  <c r="BQ137" i="25"/>
  <c r="AD97" i="29"/>
  <c r="L278" i="25"/>
  <c r="M293" i="24"/>
  <c r="M296" i="24"/>
  <c r="V301" i="29"/>
  <c r="U301" i="29"/>
  <c r="R93" i="23"/>
  <c r="N93" i="23"/>
  <c r="O93" i="23" s="1"/>
  <c r="P93" i="23" s="1"/>
  <c r="Q93" i="23" s="1"/>
  <c r="U475" i="29"/>
  <c r="V475" i="29"/>
  <c r="V372" i="29"/>
  <c r="U153" i="29"/>
  <c r="V153" i="29"/>
  <c r="V592" i="29"/>
  <c r="U592" i="29"/>
  <c r="V71" i="29"/>
  <c r="U71" i="29"/>
  <c r="V577" i="29"/>
  <c r="U577" i="29"/>
  <c r="AG577" i="29" s="1"/>
  <c r="U517" i="29"/>
  <c r="V517" i="29"/>
  <c r="V82" i="29"/>
  <c r="AH82" i="29" s="1"/>
  <c r="U82" i="29"/>
  <c r="AG82" i="29" s="1"/>
  <c r="U520" i="29"/>
  <c r="V520" i="29"/>
  <c r="V491" i="29"/>
  <c r="AE389" i="29"/>
  <c r="AH470" i="29"/>
  <c r="U207" i="29"/>
  <c r="V207" i="29"/>
  <c r="V56" i="29"/>
  <c r="U56" i="29"/>
  <c r="V137" i="29"/>
  <c r="U137" i="29"/>
  <c r="U478" i="29"/>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V490" i="29"/>
  <c r="V473" i="29"/>
  <c r="AH473" i="29" s="1"/>
  <c r="U473" i="29"/>
  <c r="U612" i="29"/>
  <c r="V612" i="29"/>
  <c r="AH88" i="29"/>
  <c r="U351" i="29"/>
  <c r="U374" i="29"/>
  <c r="V374" i="29"/>
  <c r="U536" i="29"/>
  <c r="V536" i="29"/>
  <c r="V541" i="29"/>
  <c r="U541" i="29"/>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W469" i="29"/>
  <c r="AA469" i="29" s="1"/>
  <c r="V91" i="29"/>
  <c r="U91" i="29"/>
  <c r="U36" i="29"/>
  <c r="V36" i="29"/>
  <c r="V330" i="29"/>
  <c r="U330" i="29"/>
  <c r="AG330" i="29" s="1"/>
  <c r="V324" i="29"/>
  <c r="U324" i="29"/>
  <c r="U86" i="29"/>
  <c r="V86" i="29"/>
  <c r="X86" i="29" s="1"/>
  <c r="Y86" i="29" s="1"/>
  <c r="U53" i="29"/>
  <c r="V53" i="29"/>
  <c r="U454" i="29"/>
  <c r="W454" i="29" s="1"/>
  <c r="AA454" i="29" s="1"/>
  <c r="V454" i="29"/>
  <c r="U493" i="29"/>
  <c r="V493" i="29"/>
  <c r="N42" i="23"/>
  <c r="O42" i="23" s="1"/>
  <c r="P42" i="23" s="1"/>
  <c r="Q42" i="23" s="1"/>
  <c r="W486" i="29"/>
  <c r="AA486" i="29" s="1"/>
  <c r="U367" i="29"/>
  <c r="V367" i="29"/>
  <c r="V270" i="29"/>
  <c r="U270" i="29"/>
  <c r="U117" i="29"/>
  <c r="V117" i="29"/>
  <c r="U373" i="29"/>
  <c r="V373" i="29"/>
  <c r="U601" i="29"/>
  <c r="V601" i="29"/>
  <c r="V600" i="29"/>
  <c r="U600" i="29"/>
  <c r="U589" i="29"/>
  <c r="V589" i="29"/>
  <c r="U262" i="29"/>
  <c r="V262" i="29"/>
  <c r="AE419" i="29"/>
  <c r="I128" i="25"/>
  <c r="AE357" i="29"/>
  <c r="U448" i="29"/>
  <c r="V448" i="29"/>
  <c r="U241" i="29"/>
  <c r="V241" i="29"/>
  <c r="U397" i="29"/>
  <c r="V397" i="29"/>
  <c r="AE379" i="29"/>
  <c r="F76" i="23"/>
  <c r="G76" i="23" s="1"/>
  <c r="H76" i="23" s="1"/>
  <c r="U529" i="29"/>
  <c r="X470" i="29"/>
  <c r="Y470" i="29" s="1"/>
  <c r="U297" i="29"/>
  <c r="V297" i="29"/>
  <c r="U543" i="29"/>
  <c r="V543" i="29"/>
  <c r="AH195" i="29"/>
  <c r="X195" i="29"/>
  <c r="Y195" i="29" s="1"/>
  <c r="AE364" i="29"/>
  <c r="U450" i="29"/>
  <c r="V450" i="29"/>
  <c r="U524" i="29"/>
  <c r="V524" i="29"/>
  <c r="U355" i="29"/>
  <c r="V355" i="29"/>
  <c r="U607" i="29"/>
  <c r="V607" i="29"/>
  <c r="AH474" i="29"/>
  <c r="I129" i="25"/>
  <c r="AO229" i="29"/>
  <c r="V229" i="29" s="1"/>
  <c r="AD567" i="29"/>
  <c r="V307" i="29"/>
  <c r="U307" i="29"/>
  <c r="U591" i="29"/>
  <c r="V591" i="29"/>
  <c r="U514" i="29"/>
  <c r="V514" i="29"/>
  <c r="AE472" i="29"/>
  <c r="AH602" i="29"/>
  <c r="AD56" i="29"/>
  <c r="U416" i="29"/>
  <c r="V416" i="29"/>
  <c r="U356" i="29"/>
  <c r="V356" i="29"/>
  <c r="U566" i="29"/>
  <c r="V566" i="29"/>
  <c r="J89" i="23"/>
  <c r="K89" i="23" s="1"/>
  <c r="V319" i="29"/>
  <c r="U319" i="29"/>
  <c r="U289" i="29"/>
  <c r="V289" i="29"/>
  <c r="U480" i="29"/>
  <c r="V480" i="29"/>
  <c r="U538" i="29"/>
  <c r="V538" i="29"/>
  <c r="J98" i="23"/>
  <c r="K98" i="23" s="1"/>
  <c r="U489" i="29"/>
  <c r="N21" i="23"/>
  <c r="O21" i="23" s="1"/>
  <c r="P21" i="23" s="1"/>
  <c r="Q21" i="23" s="1"/>
  <c r="U455" i="29"/>
  <c r="V455" i="29"/>
  <c r="U337" i="29"/>
  <c r="V337" i="29"/>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V107" i="29"/>
  <c r="U107" i="29"/>
  <c r="U460" i="29"/>
  <c r="V460" i="29"/>
  <c r="V546" i="29"/>
  <c r="U546" i="29"/>
  <c r="AE543" i="29"/>
  <c r="AE536" i="29"/>
  <c r="U358" i="29"/>
  <c r="V358" i="29"/>
  <c r="W602" i="29"/>
  <c r="AA602"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U249" i="29"/>
  <c r="V249" i="29"/>
  <c r="AH249" i="29" s="1"/>
  <c r="U332" i="29"/>
  <c r="AG332" i="29" s="1"/>
  <c r="V332" i="29"/>
  <c r="AH332" i="29" s="1"/>
  <c r="V532" i="29"/>
  <c r="U532" i="29"/>
  <c r="U350" i="29"/>
  <c r="V350" i="29"/>
  <c r="U558" i="29"/>
  <c r="V558" i="29"/>
  <c r="AE356" i="29"/>
  <c r="U420" i="29"/>
  <c r="V420" i="29"/>
  <c r="R33" i="23"/>
  <c r="N33" i="23"/>
  <c r="O33" i="23" s="1"/>
  <c r="P33" i="23" s="1"/>
  <c r="Q33" i="23" s="1"/>
  <c r="AE506" i="29"/>
  <c r="J66" i="23"/>
  <c r="I44" i="25"/>
  <c r="J44" i="23"/>
  <c r="K44" i="23" s="1"/>
  <c r="U320" i="29"/>
  <c r="V320" i="29"/>
  <c r="AD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V194" i="29"/>
  <c r="U194" i="29"/>
  <c r="AG194" i="29" s="1"/>
  <c r="U406" i="29"/>
  <c r="V406" i="29"/>
  <c r="V584" i="29"/>
  <c r="U584" i="29"/>
  <c r="U274" i="29"/>
  <c r="V274" i="29"/>
  <c r="AE568" i="29"/>
  <c r="R44" i="23"/>
  <c r="N44" i="23"/>
  <c r="O44" i="23" s="1"/>
  <c r="P44" i="23" s="1"/>
  <c r="Q44" i="23" s="1"/>
  <c r="AE480" i="29"/>
  <c r="I182" i="25"/>
  <c r="K8" i="2"/>
  <c r="A28" i="16" s="1"/>
  <c r="AO42" i="29"/>
  <c r="AO46" i="29"/>
  <c r="U46" i="29" s="1"/>
  <c r="V220" i="29"/>
  <c r="U220" i="29"/>
  <c r="U590" i="29"/>
  <c r="V590" i="29"/>
  <c r="U256" i="29"/>
  <c r="W256" i="29" s="1"/>
  <c r="V256" i="29"/>
  <c r="U236" i="29"/>
  <c r="V236" i="29"/>
  <c r="U161" i="29"/>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O270" i="25"/>
  <c r="R270" i="25" s="1"/>
  <c r="J9" i="23"/>
  <c r="K9" i="23" s="1"/>
  <c r="U359" i="29"/>
  <c r="U125" i="29"/>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144" i="29"/>
  <c r="Y144" i="29" s="1"/>
  <c r="AH144" i="29"/>
  <c r="W290" i="29"/>
  <c r="AG290" i="29"/>
  <c r="U573" i="29"/>
  <c r="V573" i="29"/>
  <c r="U376" i="29"/>
  <c r="V376" i="29"/>
  <c r="U606" i="29"/>
  <c r="V606" i="29"/>
  <c r="U440" i="29"/>
  <c r="V440" i="29"/>
  <c r="W192" i="29"/>
  <c r="AG192" i="29"/>
  <c r="W270" i="29"/>
  <c r="AG270" i="29"/>
  <c r="X273" i="29"/>
  <c r="Y273" i="29" s="1"/>
  <c r="AH273" i="29"/>
  <c r="AO147" i="29"/>
  <c r="V147" i="29" s="1"/>
  <c r="U537" i="29"/>
  <c r="V537" i="29"/>
  <c r="V508" i="29"/>
  <c r="U508" i="29"/>
  <c r="V496" i="29"/>
  <c r="U496" i="29"/>
  <c r="U603" i="29"/>
  <c r="V603" i="29"/>
  <c r="AE623" i="29"/>
  <c r="X239" i="29"/>
  <c r="Y239" i="29" s="1"/>
  <c r="AH239" i="29"/>
  <c r="AG246" i="29"/>
  <c r="U563" i="29"/>
  <c r="V563" i="29"/>
  <c r="U303" i="29"/>
  <c r="V303" i="29"/>
  <c r="U522" i="29"/>
  <c r="V522" i="29"/>
  <c r="U78" i="29"/>
  <c r="V78" i="29"/>
  <c r="U378" i="29"/>
  <c r="V378" i="29"/>
  <c r="AH278" i="29"/>
  <c r="AH242" i="29"/>
  <c r="X233" i="29"/>
  <c r="Y233" i="29" s="1"/>
  <c r="AH233" i="29"/>
  <c r="V250" i="29"/>
  <c r="U250" i="29"/>
  <c r="U83" i="29"/>
  <c r="V83" i="29"/>
  <c r="V179" i="29"/>
  <c r="U179" i="29"/>
  <c r="V505" i="29"/>
  <c r="U505" i="29"/>
  <c r="V557" i="29"/>
  <c r="V228" i="29"/>
  <c r="U228" i="29"/>
  <c r="U202" i="29"/>
  <c r="V202" i="29"/>
  <c r="U312" i="29"/>
  <c r="V312" i="29"/>
  <c r="W18" i="29"/>
  <c r="AA18" i="29" s="1"/>
  <c r="AG18"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U167" i="29"/>
  <c r="V75" i="29"/>
  <c r="U75" i="29"/>
  <c r="U142" i="29"/>
  <c r="V142" i="29"/>
  <c r="V152" i="29"/>
  <c r="U152" i="29"/>
  <c r="V165" i="29"/>
  <c r="U165" i="29"/>
  <c r="AO162" i="29"/>
  <c r="V22" i="29"/>
  <c r="U22" i="29"/>
  <c r="U188" i="29"/>
  <c r="V188" i="29"/>
  <c r="U102" i="29"/>
  <c r="V102" i="29"/>
  <c r="U208" i="29"/>
  <c r="V208" i="29"/>
  <c r="U585" i="29"/>
  <c r="V585" i="29"/>
  <c r="U423" i="29"/>
  <c r="V423"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AG562" i="29" l="1"/>
  <c r="AG305" i="29"/>
  <c r="AG509" i="29"/>
  <c r="W434" i="29"/>
  <c r="X498" i="29"/>
  <c r="Y498" i="29" s="1"/>
  <c r="AH303" i="29"/>
  <c r="AH232" i="29"/>
  <c r="AH328" i="29"/>
  <c r="X310" i="29"/>
  <c r="Y310" i="29" s="1"/>
  <c r="AH234" i="29"/>
  <c r="AG295" i="29"/>
  <c r="AG206" i="29"/>
  <c r="AG21" i="29"/>
  <c r="AG533" i="29"/>
  <c r="W429" i="29"/>
  <c r="AA429" i="29" s="1"/>
  <c r="AH36" i="29"/>
  <c r="AH70" i="29"/>
  <c r="W542" i="29"/>
  <c r="AG261" i="29"/>
  <c r="AH498" i="29"/>
  <c r="AG407" i="29"/>
  <c r="AG193" i="29"/>
  <c r="AG220" i="29"/>
  <c r="AG241" i="29"/>
  <c r="AH237" i="29"/>
  <c r="AH209" i="29"/>
  <c r="AH246" i="29"/>
  <c r="X296" i="29"/>
  <c r="Y296" i="29" s="1"/>
  <c r="X415" i="29"/>
  <c r="Y415" i="29" s="1"/>
  <c r="AG356" i="29"/>
  <c r="W132" i="29"/>
  <c r="AA132" i="29" s="1"/>
  <c r="X93" i="29"/>
  <c r="Y93" i="29" s="1"/>
  <c r="AH611" i="29"/>
  <c r="X607" i="29"/>
  <c r="Y607" i="29" s="1"/>
  <c r="AG313" i="29"/>
  <c r="AG253" i="29"/>
  <c r="AG44" i="29"/>
  <c r="W401" i="29"/>
  <c r="AA401" i="29" s="1"/>
  <c r="X253" i="29"/>
  <c r="Y253" i="29" s="1"/>
  <c r="W490" i="29"/>
  <c r="AA490" i="29" s="1"/>
  <c r="AH257" i="29"/>
  <c r="AG189" i="29"/>
  <c r="AH369" i="29"/>
  <c r="AH62" i="29"/>
  <c r="W298" i="29"/>
  <c r="AA298" i="29" s="1"/>
  <c r="X71" i="29"/>
  <c r="Y71" i="29" s="1"/>
  <c r="X37" i="29"/>
  <c r="Y37" i="29" s="1"/>
  <c r="W460" i="29"/>
  <c r="AA460" i="29" s="1"/>
  <c r="AG342" i="29"/>
  <c r="X447" i="29"/>
  <c r="Y447" i="29" s="1"/>
  <c r="AG276" i="29"/>
  <c r="X282" i="29"/>
  <c r="Y282" i="29" s="1"/>
  <c r="W122" i="29"/>
  <c r="AA122" i="29" s="1"/>
  <c r="AH446" i="29"/>
  <c r="AH399" i="29"/>
  <c r="X337" i="29"/>
  <c r="Y337" i="29" s="1"/>
  <c r="W373" i="29"/>
  <c r="AA373" i="29" s="1"/>
  <c r="AH192" i="29"/>
  <c r="AG543" i="29"/>
  <c r="X399" i="29"/>
  <c r="Y399" i="29" s="1"/>
  <c r="W24" i="29"/>
  <c r="AA24" i="29" s="1"/>
  <c r="AG297" i="29"/>
  <c r="AH322" i="29"/>
  <c r="X389" i="29"/>
  <c r="Y389" i="29" s="1"/>
  <c r="AH570" i="29"/>
  <c r="X411" i="29"/>
  <c r="Y411" i="29" s="1"/>
  <c r="AH333" i="29"/>
  <c r="AH368" i="29"/>
  <c r="X381" i="29"/>
  <c r="Y381" i="29" s="1"/>
  <c r="AG168" i="29"/>
  <c r="AH567" i="29"/>
  <c r="AH590" i="29"/>
  <c r="AH381" i="29"/>
  <c r="W446" i="29"/>
  <c r="AA446" i="29" s="1"/>
  <c r="W354" i="29"/>
  <c r="AA354" i="29" s="1"/>
  <c r="AG371" i="29"/>
  <c r="AG478" i="29"/>
  <c r="AH613" i="29"/>
  <c r="X297" i="29"/>
  <c r="Y297" i="29" s="1"/>
  <c r="X353" i="29"/>
  <c r="Y353" i="29" s="1"/>
  <c r="X258" i="29"/>
  <c r="Y258" i="29" s="1"/>
  <c r="W322" i="29"/>
  <c r="AA322" i="29" s="1"/>
  <c r="X132" i="29"/>
  <c r="Y132" i="29" s="1"/>
  <c r="W417" i="29"/>
  <c r="AA417" i="29" s="1"/>
  <c r="X194" i="29"/>
  <c r="Y194" i="29" s="1"/>
  <c r="AG62" i="29"/>
  <c r="W279" i="29"/>
  <c r="AA279" i="29" s="1"/>
  <c r="W436" i="29"/>
  <c r="AA436" i="29" s="1"/>
  <c r="X18" i="29"/>
  <c r="Y18" i="29" s="1"/>
  <c r="AG142" i="29"/>
  <c r="AH503" i="29"/>
  <c r="AG257" i="29"/>
  <c r="AH552" i="29"/>
  <c r="X491" i="29"/>
  <c r="Y491" i="29" s="1"/>
  <c r="X137" i="29"/>
  <c r="Y137" i="29" s="1"/>
  <c r="AH155" i="29"/>
  <c r="AH130" i="29"/>
  <c r="AH329" i="29"/>
  <c r="AH347" i="29"/>
  <c r="X343" i="29"/>
  <c r="Y343" i="29" s="1"/>
  <c r="AH15" i="29"/>
  <c r="AG15" i="29"/>
  <c r="AH412" i="29"/>
  <c r="W278" i="29"/>
  <c r="AA278" i="29" s="1"/>
  <c r="X371" i="29"/>
  <c r="Y371" i="29" s="1"/>
  <c r="AH411" i="29"/>
  <c r="AG545" i="29"/>
  <c r="W143" i="29"/>
  <c r="AA143" i="29" s="1"/>
  <c r="AH53" i="29"/>
  <c r="AG598" i="29"/>
  <c r="X252" i="29"/>
  <c r="Y252" i="29" s="1"/>
  <c r="AH292" i="29"/>
  <c r="AH469" i="29"/>
  <c r="AH107" i="29"/>
  <c r="AH280" i="29"/>
  <c r="W230" i="29"/>
  <c r="AA230" i="29" s="1"/>
  <c r="AG266" i="29"/>
  <c r="AG259" i="29"/>
  <c r="W57" i="29"/>
  <c r="AA57" i="29" s="1"/>
  <c r="X293" i="29"/>
  <c r="Y293" i="29" s="1"/>
  <c r="AG570" i="29"/>
  <c r="AG72" i="29"/>
  <c r="AG292" i="29"/>
  <c r="AG477" i="29"/>
  <c r="W419" i="29"/>
  <c r="AA419" i="29" s="1"/>
  <c r="AG609" i="29"/>
  <c r="W453" i="29"/>
  <c r="AA453" i="29" s="1"/>
  <c r="AG201" i="29"/>
  <c r="W547" i="29"/>
  <c r="AA547" i="29" s="1"/>
  <c r="X467" i="29"/>
  <c r="Y467" i="29" s="1"/>
  <c r="AG88" i="29"/>
  <c r="W144" i="29"/>
  <c r="AA144" i="29" s="1"/>
  <c r="AG501" i="29"/>
  <c r="W302" i="29"/>
  <c r="AA302" i="29" s="1"/>
  <c r="AH167" i="29"/>
  <c r="AG541" i="29"/>
  <c r="W180" i="29"/>
  <c r="AA180" i="29" s="1"/>
  <c r="W293" i="29"/>
  <c r="AA293" i="29" s="1"/>
  <c r="AG516" i="29"/>
  <c r="AH536" i="29"/>
  <c r="X395" i="29"/>
  <c r="Y395" i="29" s="1"/>
  <c r="AH97" i="29"/>
  <c r="W282" i="29"/>
  <c r="AA282" i="29" s="1"/>
  <c r="AG125" i="29"/>
  <c r="AH169" i="29"/>
  <c r="AH302" i="29"/>
  <c r="X408" i="29"/>
  <c r="Y408" i="29" s="1"/>
  <c r="W326" i="29"/>
  <c r="AA326" i="29" s="1"/>
  <c r="W334" i="29"/>
  <c r="AA334" i="29" s="1"/>
  <c r="AG488" i="29"/>
  <c r="AH244" i="29"/>
  <c r="AH402" i="29"/>
  <c r="AG566" i="29"/>
  <c r="W491" i="29"/>
  <c r="AA491" i="29" s="1"/>
  <c r="X327" i="29"/>
  <c r="Y327" i="29" s="1"/>
  <c r="AG77" i="29"/>
  <c r="W312" i="29"/>
  <c r="AA312" i="29" s="1"/>
  <c r="AH39" i="29"/>
  <c r="AH206" i="29"/>
  <c r="AG327" i="29"/>
  <c r="AG500" i="29"/>
  <c r="X357" i="29"/>
  <c r="Y357" i="29" s="1"/>
  <c r="X263" i="29"/>
  <c r="Y263" i="29" s="1"/>
  <c r="AG567" i="29"/>
  <c r="AG161" i="29"/>
  <c r="AG288" i="29"/>
  <c r="AG372" i="29"/>
  <c r="AG575" i="29"/>
  <c r="AH533" i="29"/>
  <c r="W536" i="29"/>
  <c r="AA536" i="29" s="1"/>
  <c r="X604" i="29"/>
  <c r="Y604" i="29" s="1"/>
  <c r="X305" i="29"/>
  <c r="Y305" i="29" s="1"/>
  <c r="W548" i="29"/>
  <c r="AA548" i="29" s="1"/>
  <c r="W518" i="29"/>
  <c r="AA518" i="29" s="1"/>
  <c r="X587" i="29"/>
  <c r="Y587" i="29" s="1"/>
  <c r="W287" i="29"/>
  <c r="AA287" i="29" s="1"/>
  <c r="AG131" i="29"/>
  <c r="W350" i="29"/>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A41" i="29" s="1"/>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AA210" i="29" s="1"/>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A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A297" i="29" s="1"/>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A447" i="29" s="1"/>
  <c r="AH609" i="29"/>
  <c r="AE403" i="29"/>
  <c r="X403" i="29"/>
  <c r="Y403" i="29" s="1"/>
  <c r="AD239" i="29"/>
  <c r="W239" i="29"/>
  <c r="AE150" i="29"/>
  <c r="X150" i="29"/>
  <c r="Y150" i="29" s="1"/>
  <c r="AE335" i="29"/>
  <c r="X335" i="29"/>
  <c r="Y335" i="29" s="1"/>
  <c r="AE145" i="29"/>
  <c r="AE411" i="29"/>
  <c r="AD155" i="29"/>
  <c r="W155" i="29"/>
  <c r="AA155" i="29" s="1"/>
  <c r="AD286" i="29"/>
  <c r="W286" i="29"/>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A534" i="29" s="1"/>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AA284" i="29" s="1"/>
  <c r="X256" i="29"/>
  <c r="Y256" i="29" s="1"/>
  <c r="W524" i="29"/>
  <c r="AA524" i="29" s="1"/>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AA545" i="29" s="1"/>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AA522" i="29" s="1"/>
  <c r="X575" i="29"/>
  <c r="Y575" i="29" s="1"/>
  <c r="W114" i="29"/>
  <c r="AA114" i="29" s="1"/>
  <c r="X153" i="29"/>
  <c r="Y153" i="29" s="1"/>
  <c r="X477" i="29"/>
  <c r="Y477" i="29" s="1"/>
  <c r="AG70" i="29"/>
  <c r="W348" i="29"/>
  <c r="AG286" i="29"/>
  <c r="W137" i="29"/>
  <c r="AA137" i="29" s="1"/>
  <c r="W626" i="29"/>
  <c r="J636" i="29" s="1"/>
  <c r="W546" i="29"/>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G472" i="29"/>
  <c r="X518" i="29"/>
  <c r="Y518" i="29" s="1"/>
  <c r="X268" i="29"/>
  <c r="Y268" i="29" s="1"/>
  <c r="X119" i="29"/>
  <c r="Y119" i="29" s="1"/>
  <c r="W498" i="29"/>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470" i="29"/>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G60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Q222" i="25"/>
  <c r="R222" i="25"/>
  <c r="R308" i="25"/>
  <c r="Q308" i="25"/>
  <c r="R240" i="25"/>
  <c r="S240" i="25"/>
  <c r="K240" i="25" s="1"/>
  <c r="AD240" i="25" s="1"/>
  <c r="AG557" i="29"/>
  <c r="W557" i="29"/>
  <c r="AA342" i="29"/>
  <c r="AG563" i="29"/>
  <c r="W563" i="29"/>
  <c r="AH508" i="29"/>
  <c r="X508" i="29"/>
  <c r="Y508" i="29" s="1"/>
  <c r="AH440" i="29"/>
  <c r="X440" i="29"/>
  <c r="Y440" i="29" s="1"/>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X378" i="29"/>
  <c r="Y378" i="29" s="1"/>
  <c r="AH378" i="29"/>
  <c r="X522" i="29"/>
  <c r="Y522" i="29" s="1"/>
  <c r="AH522" i="29"/>
  <c r="AG312" i="29"/>
  <c r="AA256" i="29"/>
  <c r="AA270" i="29"/>
  <c r="W440" i="29"/>
  <c r="AG440" i="29"/>
  <c r="AH505" i="29"/>
  <c r="X505" i="29"/>
  <c r="Y505" i="29" s="1"/>
  <c r="W179" i="29"/>
  <c r="AG179" i="29"/>
  <c r="W378" i="29"/>
  <c r="AG378" i="29"/>
  <c r="AA570"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H202" i="29"/>
  <c r="X202" i="29"/>
  <c r="Y202" i="29" s="1"/>
  <c r="AA295" i="29"/>
  <c r="AH179" i="29"/>
  <c r="X179" i="29"/>
  <c r="Y179" i="29" s="1"/>
  <c r="AA280" i="29"/>
  <c r="X303" i="29"/>
  <c r="Y303" i="29" s="1"/>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G603" i="29"/>
  <c r="W603" i="29"/>
  <c r="AG537" i="29"/>
  <c r="W537" i="29"/>
  <c r="AH376" i="29"/>
  <c r="X376" i="29"/>
  <c r="Y376" i="29" s="1"/>
  <c r="X286" i="29"/>
  <c r="Y286" i="29" s="1"/>
  <c r="AH286" i="29"/>
  <c r="S145" i="25"/>
  <c r="K145" i="25" s="1"/>
  <c r="W145" i="25" s="1"/>
  <c r="Z145" i="25" s="1"/>
  <c r="AA145" i="25" s="1"/>
  <c r="AB145" i="25" s="1"/>
  <c r="S232" i="25"/>
  <c r="K232" i="25" s="1"/>
  <c r="S250" i="25"/>
  <c r="K250" i="25" s="1"/>
  <c r="W250" i="25" s="1"/>
  <c r="Z250" i="25" s="1"/>
  <c r="AA250" i="25" s="1"/>
  <c r="AB250" i="25" s="1"/>
  <c r="AH37" i="29"/>
  <c r="W228" i="29"/>
  <c r="AA228" i="29" s="1"/>
  <c r="AG228" i="29"/>
  <c r="AA195" i="29"/>
  <c r="AG83" i="29"/>
  <c r="W83" i="29"/>
  <c r="W303" i="29"/>
  <c r="AG303" i="29"/>
  <c r="AA575" i="29"/>
  <c r="AG496" i="29"/>
  <c r="W496" i="29"/>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X496" i="29"/>
  <c r="Y496" i="29" s="1"/>
  <c r="AH496" i="29"/>
  <c r="AH573" i="29"/>
  <c r="X573" i="29"/>
  <c r="Y573" i="29" s="1"/>
  <c r="AA530" i="29"/>
  <c r="X553" i="29"/>
  <c r="Y553" i="29" s="1"/>
  <c r="AH553" i="29"/>
  <c r="S146" i="25"/>
  <c r="K146" i="25" s="1"/>
  <c r="AD146" i="25" s="1"/>
  <c r="X557" i="29"/>
  <c r="Y557" i="29" s="1"/>
  <c r="AH557" i="29"/>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H34" i="29"/>
  <c r="X34" i="29"/>
  <c r="Y34" i="29" s="1"/>
  <c r="X157" i="29"/>
  <c r="Y157" i="29" s="1"/>
  <c r="AH157" i="29"/>
  <c r="W149" i="29"/>
  <c r="AG149" i="29"/>
  <c r="AG187" i="29"/>
  <c r="W187" i="29"/>
  <c r="U116" i="29"/>
  <c r="V116" i="29"/>
  <c r="AG199" i="29"/>
  <c r="W199"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J23" i="29" l="1"/>
  <c r="AK23" i="29" s="1"/>
  <c r="AK371" i="29"/>
  <c r="AJ446" i="29"/>
  <c r="AK446" i="29" s="1"/>
  <c r="AJ279" i="29"/>
  <c r="AK279" i="29" s="1"/>
  <c r="AJ278" i="29"/>
  <c r="AK278" i="29" s="1"/>
  <c r="AJ143" i="29"/>
  <c r="AK143" i="29" s="1"/>
  <c r="AJ347" i="29"/>
  <c r="AK347" i="29" s="1"/>
  <c r="AJ453" i="29"/>
  <c r="AK453" i="29" s="1"/>
  <c r="AJ293" i="29"/>
  <c r="AK293" i="29" s="1"/>
  <c r="AJ482" i="29"/>
  <c r="AK482" i="29" s="1"/>
  <c r="AJ546" i="29"/>
  <c r="AK546" i="29" s="1"/>
  <c r="AJ282" i="29"/>
  <c r="AK282" i="29" s="1"/>
  <c r="AA348" i="29"/>
  <c r="AJ144" i="29"/>
  <c r="AK144" i="29" s="1"/>
  <c r="AJ40" i="29"/>
  <c r="AK40" i="29" s="1"/>
  <c r="AJ325" i="29"/>
  <c r="AK325" i="29" s="1"/>
  <c r="AJ294" i="29"/>
  <c r="AK294" i="29" s="1"/>
  <c r="AJ330" i="29"/>
  <c r="AK330" i="29" s="1"/>
  <c r="AA294" i="29"/>
  <c r="AJ312" i="29"/>
  <c r="AK312" i="29" s="1"/>
  <c r="AJ490" i="29"/>
  <c r="AK490" i="29" s="1"/>
  <c r="AJ575" i="29"/>
  <c r="AK575" i="29" s="1"/>
  <c r="AJ547" i="29"/>
  <c r="AK547" i="29" s="1"/>
  <c r="AJ304" i="29"/>
  <c r="AK304" i="29" s="1"/>
  <c r="AJ311" i="29"/>
  <c r="AK311" i="29" s="1"/>
  <c r="AJ605" i="29"/>
  <c r="AK605" i="29" s="1"/>
  <c r="AJ93" i="29"/>
  <c r="AK93" i="29" s="1"/>
  <c r="AJ297" i="29"/>
  <c r="AK297" i="29" s="1"/>
  <c r="AJ476" i="29"/>
  <c r="AK476" i="29" s="1"/>
  <c r="AA370" i="29"/>
  <c r="AJ286" i="29"/>
  <c r="AK286" i="29" s="1"/>
  <c r="AJ561" i="29"/>
  <c r="AK561" i="29" s="1"/>
  <c r="AJ363" i="29"/>
  <c r="AK363" i="29" s="1"/>
  <c r="AJ473" i="29"/>
  <c r="AK473" i="29" s="1"/>
  <c r="AJ350" i="29"/>
  <c r="AK350" i="29" s="1"/>
  <c r="AJ497" i="29"/>
  <c r="AK497" i="29" s="1"/>
  <c r="AJ210" i="29"/>
  <c r="AK210" i="29" s="1"/>
  <c r="AJ433" i="29"/>
  <c r="AK433" i="29" s="1"/>
  <c r="AJ255" i="29"/>
  <c r="AK255" i="29" s="1"/>
  <c r="AJ296" i="29"/>
  <c r="AK296" i="29" s="1"/>
  <c r="AJ426" i="29"/>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23" i="25"/>
  <c r="CI113" i="25"/>
  <c r="CJ114" i="25"/>
  <c r="CJ113" i="25"/>
  <c r="CI114" i="25"/>
  <c r="CJ115" i="25"/>
  <c r="CI117" i="25"/>
  <c r="CI116" i="25"/>
  <c r="CI118" i="25"/>
  <c r="CI124" i="25"/>
  <c r="CI123" i="25"/>
  <c r="CI204" i="25"/>
  <c r="CI115" i="25"/>
  <c r="CI191" i="25"/>
  <c r="CI129" i="25"/>
  <c r="CJ204" i="25"/>
  <c r="CJ118" i="25"/>
  <c r="CJ124" i="25"/>
  <c r="CJ116" i="25"/>
  <c r="CJ117" i="25"/>
  <c r="CJ128" i="25"/>
  <c r="CI128"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BN110" i="24" l="1"/>
  <c r="CG110" i="24"/>
  <c r="AJ60" i="29"/>
  <c r="AK60" i="29" s="1"/>
  <c r="AJ338" i="29"/>
  <c r="AK338" i="29" s="1"/>
  <c r="AA42" i="29"/>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CI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20" i="25"/>
  <c r="CI265" i="25"/>
  <c r="CI227" i="25"/>
  <c r="CI273" i="25"/>
  <c r="CI231" i="25"/>
  <c r="CI247"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CI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CI293" i="25" s="1"/>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AY182" i="25"/>
  <c r="AW182" i="25"/>
  <c r="AR230" i="25"/>
  <c r="AP230" i="25"/>
  <c r="AJ40" i="25"/>
  <c r="AM40" i="25"/>
  <c r="AM23" i="25"/>
  <c r="BM23" i="25" s="1"/>
  <c r="AJ23" i="25"/>
  <c r="AM190" i="25"/>
  <c r="AJ190" i="25"/>
  <c r="AR298" i="25"/>
  <c r="AP298" i="25"/>
  <c r="AJ246" i="25"/>
  <c r="AM246" i="25"/>
  <c r="CI246" i="25" s="1"/>
  <c r="AM90" i="25"/>
  <c r="AJ90" i="25"/>
  <c r="AJ20" i="25"/>
  <c r="AM20" i="25"/>
  <c r="BM20" i="25" s="1"/>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BM110" i="25" l="1"/>
  <c r="CI110" i="25"/>
  <c r="AR306" i="25"/>
  <c r="CI306" i="25"/>
  <c r="CI187" i="25"/>
  <c r="BM133" i="25"/>
  <c r="CI133" i="25"/>
  <c r="AR132" i="25"/>
  <c r="AT132" i="25" s="1"/>
  <c r="BA132" i="25" s="1"/>
  <c r="BJ132" i="25"/>
  <c r="BI132" i="25"/>
  <c r="BX132" i="25"/>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BN141" i="24" l="1"/>
  <c r="CG141" i="24"/>
  <c r="AU132" i="25"/>
  <c r="BN138" i="24"/>
  <c r="CG138" i="24"/>
  <c r="AU241" i="25"/>
  <c r="AU294" i="25"/>
  <c r="BN17" i="24"/>
  <c r="CG17" i="24"/>
  <c r="AU102" i="25"/>
  <c r="BD102" i="25" s="1"/>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BF102" i="25" l="1"/>
  <c r="BQ102" i="25" s="1"/>
  <c r="BE102" i="25"/>
  <c r="BP102" i="25" s="1"/>
  <c r="AW299" i="24"/>
  <c r="BD299" i="24"/>
  <c r="AW92" i="24"/>
  <c r="BG92" i="24" s="1"/>
  <c r="BD136" i="25"/>
  <c r="BH136" i="25" s="1"/>
  <c r="BN136" i="25" s="1"/>
  <c r="BF136" i="25"/>
  <c r="BW136" i="25" s="1"/>
  <c r="BD167" i="25"/>
  <c r="BU167" i="25" s="1"/>
  <c r="BF167" i="25"/>
  <c r="BW167" i="25" s="1"/>
  <c r="CA110" i="24"/>
  <c r="CC110" i="24" s="1"/>
  <c r="BD117" i="25"/>
  <c r="BU117" i="25" s="1"/>
  <c r="BE117" i="25"/>
  <c r="BV117" i="25" s="1"/>
  <c r="BE165" i="25"/>
  <c r="BV165" i="25" s="1"/>
  <c r="BD165" i="25"/>
  <c r="BH165" i="25" s="1"/>
  <c r="BN165" i="25" s="1"/>
  <c r="BW102" i="25"/>
  <c r="BV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CD110" i="24" l="1"/>
  <c r="CH110" i="24"/>
  <c r="BT102" i="25"/>
  <c r="BU136" i="25"/>
  <c r="BZ136" i="25" s="1"/>
  <c r="AY92" i="24"/>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Y136" i="25" l="1"/>
  <c r="CC136" i="25" s="1"/>
  <c r="CE136" i="25" s="1"/>
  <c r="CF136" i="25" s="1"/>
  <c r="BU92" i="24"/>
  <c r="BX92" i="24" s="1"/>
  <c r="BZ92" i="24" s="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BI142" i="24"/>
  <c r="CF196" i="25"/>
  <c r="CJ196" i="25"/>
  <c r="BI94" i="24"/>
  <c r="BO180" i="25"/>
  <c r="BU80" i="24"/>
  <c r="BX80" i="24" s="1"/>
  <c r="BZ80" i="24" s="1"/>
  <c r="BU113" i="24"/>
  <c r="BO210" i="25"/>
  <c r="CJ174"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2" i="25" l="1"/>
  <c r="CB136" i="25"/>
  <c r="CJ187" i="25"/>
  <c r="CJ207" i="25"/>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C22" i="25"/>
  <c r="CE22" i="25" s="1"/>
  <c r="CC54" i="25"/>
  <c r="CE54" i="25" s="1"/>
  <c r="CF54" i="25" s="1"/>
  <c r="CB113" i="25"/>
  <c r="CC133" i="25"/>
  <c r="CE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D141" i="24" l="1"/>
  <c r="CH141" i="24"/>
  <c r="CF110" i="25"/>
  <c r="CJ110" i="25"/>
  <c r="CF133" i="25"/>
  <c r="CJ133" i="25"/>
  <c r="CD138" i="24"/>
  <c r="CH138" i="24"/>
  <c r="CJ194" i="25"/>
  <c r="CF120" i="25"/>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<sst xmlns="http://schemas.openxmlformats.org/spreadsheetml/2006/main" count="1554" uniqueCount="862">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</sst>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43" xfId="4" applyFont="1" applyFill="1" applyBorder="1" applyAlignment="1">
      <alignment horizontal="center"/>
    </xf>
    <xf numFmtId="0" fontId="80" fillId="4" borderId="81" xfId="4" applyFont="1" applyFill="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96.720751086824649</c:v>
                </c:pt>
                <c:pt idx="1">
                  <c:v>89.92607611608409</c:v>
                </c:pt>
                <c:pt idx="2">
                  <c:v>89.276580322621172</c:v>
                </c:pt>
                <c:pt idx="3">
                  <c:v>88.605899564173399</c:v>
                </c:pt>
                <c:pt idx="4">
                  <c:v>87.916953351876856</c:v>
                </c:pt>
                <c:pt idx="5">
                  <c:v>87.210902330794454</c:v>
                </c:pt>
                <c:pt idx="6">
                  <c:v>86.490870400298391</c:v>
                </c:pt>
                <c:pt idx="7">
                  <c:v>85.758324257132955</c:v>
                </c:pt>
                <c:pt idx="8">
                  <c:v>85.015533606931299</c:v>
                </c:pt>
                <c:pt idx="9">
                  <c:v>84.263469937597307</c:v>
                </c:pt>
                <c:pt idx="10">
                  <c:v>83.50390495655688</c:v>
                </c:pt>
                <c:pt idx="11">
                  <c:v>82.737897468924118</c:v>
                </c:pt>
                <c:pt idx="12">
                  <c:v>81.966041986807724</c:v>
                </c:pt>
                <c:pt idx="13">
                  <c:v>81.189939735904929</c:v>
                </c:pt>
                <c:pt idx="14">
                  <c:v>80.40970553954503</c:v>
                </c:pt>
                <c:pt idx="15">
                  <c:v>79.62626055651576</c:v>
                </c:pt>
                <c:pt idx="16">
                  <c:v>78.840068617273104</c:v>
                </c:pt>
                <c:pt idx="17">
                  <c:v>78.051686144588061</c:v>
                </c:pt>
                <c:pt idx="18">
                  <c:v>77.26125773158887</c:v>
                </c:pt>
                <c:pt idx="19">
                  <c:v>76.469309040267959</c:v>
                </c:pt>
                <c:pt idx="20">
                  <c:v>75.675944553097892</c:v>
                </c:pt>
                <c:pt idx="21">
                  <c:v>74.881545234187712</c:v>
                </c:pt>
                <c:pt idx="22">
                  <c:v>74.086124171602421</c:v>
                </c:pt>
                <c:pt idx="23">
                  <c:v>73.290030449021785</c:v>
                </c:pt>
                <c:pt idx="24">
                  <c:v>72.493188160429099</c:v>
                </c:pt>
                <c:pt idx="25">
                  <c:v>71.695825840659367</c:v>
                </c:pt>
                <c:pt idx="26">
                  <c:v>70.897844989301888</c:v>
                </c:pt>
                <c:pt idx="27">
                  <c:v>70.099572030421797</c:v>
                </c:pt>
                <c:pt idx="28">
                  <c:v>69.301035964277034</c:v>
                </c:pt>
                <c:pt idx="29">
                  <c:v>68.502782648851408</c:v>
                </c:pt>
                <c:pt idx="30">
                  <c:v>67.703502984447297</c:v>
                </c:pt>
                <c:pt idx="31">
                  <c:v>66.904347213894141</c:v>
                </c:pt>
                <c:pt idx="32">
                  <c:v>66.104800743581833</c:v>
                </c:pt>
                <c:pt idx="33">
                  <c:v>65.305455585928385</c:v>
                </c:pt>
                <c:pt idx="34">
                  <c:v>64.505713125147594</c:v>
                </c:pt>
                <c:pt idx="35">
                  <c:v>63.706037319728054</c:v>
                </c:pt>
                <c:pt idx="36">
                  <c:v>62.906316133851277</c:v>
                </c:pt>
                <c:pt idx="37">
                  <c:v>62.106125868840493</c:v>
                </c:pt>
                <c:pt idx="38">
                  <c:v>61.306232322235985</c:v>
                </c:pt>
                <c:pt idx="39">
                  <c:v>60.505991523082365</c:v>
                </c:pt>
                <c:pt idx="40">
                  <c:v>59.705702939677245</c:v>
                </c:pt>
                <c:pt idx="41">
                  <c:v>58.905290596867196</c:v>
                </c:pt>
                <c:pt idx="42">
                  <c:v>58.104853211991276</c:v>
                </c:pt>
                <c:pt idx="43">
                  <c:v>57.304138950328621</c:v>
                </c:pt>
                <c:pt idx="44">
                  <c:v>56.503338579653565</c:v>
                </c:pt>
                <c:pt idx="45">
                  <c:v>55.70226223553508</c:v>
                </c:pt>
                <c:pt idx="46">
                  <c:v>54.901036406882483</c:v>
                </c:pt>
                <c:pt idx="47">
                  <c:v>54.099445289858593</c:v>
                </c:pt>
                <c:pt idx="48">
                  <c:v>53.297633617050238</c:v>
                </c:pt>
                <c:pt idx="49">
                  <c:v>52.495333223169652</c:v>
                </c:pt>
                <c:pt idx="50">
                  <c:v>51.692591836466669</c:v>
                </c:pt>
                <c:pt idx="51">
                  <c:v>50.889131435023643</c:v>
                </c:pt>
                <c:pt idx="52">
                  <c:v>50.085099937641374</c:v>
                </c:pt>
                <c:pt idx="53">
                  <c:v>49.280338727499647</c:v>
                </c:pt>
                <c:pt idx="54">
                  <c:v>48.475198338013556</c:v>
                </c:pt>
                <c:pt idx="55">
                  <c:v>47.668139943616268</c:v>
                </c:pt>
                <c:pt idx="56">
                  <c:v>46.860083041502804</c:v>
                </c:pt>
                <c:pt idx="57">
                  <c:v>46.050237951378392</c:v>
                </c:pt>
                <c:pt idx="58">
                  <c:v>45.238901983598289</c:v>
                </c:pt>
                <c:pt idx="59">
                  <c:v>44.425127201717729</c:v>
                </c:pt>
                <c:pt idx="60">
                  <c:v>43.609003394850134</c:v>
                </c:pt>
                <c:pt idx="61">
                  <c:v>42.789991757664112</c:v>
                </c:pt>
                <c:pt idx="62">
                  <c:v>41.96718722360454</c:v>
                </c:pt>
                <c:pt idx="63">
                  <c:v>41.140867891351043</c:v>
                </c:pt>
                <c:pt idx="64">
                  <c:v>40.309827543771029</c:v>
                </c:pt>
                <c:pt idx="65">
                  <c:v>39.473815090060782</c:v>
                </c:pt>
                <c:pt idx="66">
                  <c:v>38.632193705127243</c:v>
                </c:pt>
                <c:pt idx="67">
                  <c:v>37.784542713839791</c:v>
                </c:pt>
                <c:pt idx="68">
                  <c:v>36.930140550306703</c:v>
                </c:pt>
                <c:pt idx="69">
                  <c:v>36.068853604786121</c:v>
                </c:pt>
                <c:pt idx="70">
                  <c:v>35.20031201711403</c:v>
                </c:pt>
                <c:pt idx="71">
                  <c:v>34.324712792781852</c:v>
                </c:pt>
                <c:pt idx="72">
                  <c:v>33.442155048245247</c:v>
                </c:pt>
                <c:pt idx="73">
                  <c:v>32.553445175316355</c:v>
                </c:pt>
                <c:pt idx="74">
                  <c:v>31.659260076289403</c:v>
                </c:pt>
                <c:pt idx="75">
                  <c:v>30.760940191344016</c:v>
                </c:pt>
                <c:pt idx="76">
                  <c:v>29.859730908150965</c:v>
                </c:pt>
                <c:pt idx="77">
                  <c:v>28.957549505206245</c:v>
                </c:pt>
                <c:pt idx="78">
                  <c:v>28.056066979198008</c:v>
                </c:pt>
                <c:pt idx="79">
                  <c:v>27.157511999038782</c:v>
                </c:pt>
                <c:pt idx="80">
                  <c:v>26.261899234189126</c:v>
                </c:pt>
                <c:pt idx="81">
                  <c:v>25.371792305942872</c:v>
                </c:pt>
                <c:pt idx="82">
                  <c:v>24.487614012557536</c:v>
                </c:pt>
                <c:pt idx="83">
                  <c:v>23.610712744140599</c:v>
                </c:pt>
                <c:pt idx="84">
                  <c:v>22.740829401405094</c:v>
                </c:pt>
                <c:pt idx="85">
                  <c:v>21.878600733479242</c:v>
                </c:pt>
                <c:pt idx="86">
                  <c:v>21.023811413744454</c:v>
                </c:pt>
                <c:pt idx="87">
                  <c:v>20.17575343905083</c:v>
                </c:pt>
                <c:pt idx="88">
                  <c:v>19.334865319999022</c:v>
                </c:pt>
                <c:pt idx="89">
                  <c:v>18.500032573991959</c:v>
                </c:pt>
                <c:pt idx="90">
                  <c:v>17.671115233712971</c:v>
                </c:pt>
                <c:pt idx="91">
                  <c:v>16.847595832778882</c:v>
                </c:pt>
                <c:pt idx="92">
                  <c:v>16.029180901890655</c:v>
                </c:pt>
                <c:pt idx="93">
                  <c:v>15.215283859704801</c:v>
                </c:pt>
                <c:pt idx="94">
                  <c:v>15.012585474740233</c:v>
                </c:pt>
                <c:pt idx="95">
                  <c:v>14.910710921184734</c:v>
                </c:pt>
                <c:pt idx="96">
                  <c:v>14.810069232746841</c:v>
                </c:pt>
                <c:pt idx="97">
                  <c:v>14.708340324363569</c:v>
                </c:pt>
                <c:pt idx="98">
                  <c:v>14.607841744659076</c:v>
                </c:pt>
                <c:pt idx="99">
                  <c:v>14.506231487523992</c:v>
                </c:pt>
                <c:pt idx="100">
                  <c:v>14.405849742151418</c:v>
                </c:pt>
                <c:pt idx="101">
                  <c:v>14.304410170971323</c:v>
                </c:pt>
                <c:pt idx="102">
                  <c:v>14.204196118744367</c:v>
                </c:pt>
                <c:pt idx="103">
                  <c:v>14.102828703538501</c:v>
                </c:pt>
                <c:pt idx="104">
                  <c:v>14.002686259841347</c:v>
                </c:pt>
                <c:pt idx="105">
                  <c:v>13.901446411339954</c:v>
                </c:pt>
                <c:pt idx="106">
                  <c:v>13.801429738447739</c:v>
                </c:pt>
                <c:pt idx="107">
                  <c:v>13.700369035009487</c:v>
                </c:pt>
                <c:pt idx="108">
                  <c:v>13.600528558825788</c:v>
                </c:pt>
                <c:pt idx="109">
                  <c:v>13.499626676915003</c:v>
                </c:pt>
                <c:pt idx="110">
                  <c:v>13.399942651693371</c:v>
                </c:pt>
                <c:pt idx="111">
                  <c:v>13.299115746806331</c:v>
                </c:pt>
                <c:pt idx="112">
                  <c:v>13.199506434065203</c:v>
                </c:pt>
                <c:pt idx="113">
                  <c:v>13.098810018352612</c:v>
                </c:pt>
                <c:pt idx="114">
                  <c:v>12.999329695799364</c:v>
                </c:pt>
                <c:pt idx="115">
                  <c:v>12.898752032617647</c:v>
                </c:pt>
                <c:pt idx="116">
                  <c:v>12.799389346777438</c:v>
                </c:pt>
                <c:pt idx="117">
                  <c:v>12.698921209122787</c:v>
                </c:pt>
                <c:pt idx="118">
                  <c:v>12.599667260145575</c:v>
                </c:pt>
                <c:pt idx="119">
                  <c:v>12.499362209049515</c:v>
                </c:pt>
                <c:pt idx="120">
                  <c:v>12.400269380008098</c:v>
                </c:pt>
                <c:pt idx="121">
                  <c:v>12.300118322500705</c:v>
                </c:pt>
                <c:pt idx="122">
                  <c:v>12.201177850662843</c:v>
                </c:pt>
                <c:pt idx="123">
                  <c:v>12.101116316022749</c:v>
                </c:pt>
                <c:pt idx="124">
                  <c:v>12.002265397013334</c:v>
                </c:pt>
                <c:pt idx="125">
                  <c:v>11.902348906594291</c:v>
                </c:pt>
                <c:pt idx="126">
                  <c:v>11.803641847689866</c:v>
                </c:pt>
                <c:pt idx="127">
                  <c:v>11.703867368858415</c:v>
                </c:pt>
                <c:pt idx="128">
                  <c:v>11.605301334164807</c:v>
                </c:pt>
                <c:pt idx="129">
                  <c:v>11.505667596427793</c:v>
                </c:pt>
                <c:pt idx="130">
                  <c:v>11.407241473849002</c:v>
                </c:pt>
                <c:pt idx="131">
                  <c:v>11.307748835656211</c:v>
                </c:pt>
                <c:pt idx="132">
                  <c:v>11.258456853621935</c:v>
                </c:pt>
                <c:pt idx="133">
                  <c:v>11.209463106854702</c:v>
                </c:pt>
                <c:pt idx="134">
                  <c:v>11.159610078842681</c:v>
                </c:pt>
                <c:pt idx="135">
                  <c:v>11.110062453566814</c:v>
                </c:pt>
                <c:pt idx="136">
                  <c:v>11.060816694244441</c:v>
                </c:pt>
                <c:pt idx="137">
                  <c:v>11.011869326335219</c:v>
                </c:pt>
                <c:pt idx="138">
                  <c:v>10.962115739263504</c:v>
                </c:pt>
                <c:pt idx="139">
                  <c:v>10.912667088976617</c:v>
                </c:pt>
                <c:pt idx="140">
                  <c:v>10.863519851477609</c:v>
                </c:pt>
                <c:pt idx="141">
                  <c:v>10.814670564671173</c:v>
                </c:pt>
                <c:pt idx="142">
                  <c:v>10.764967975698278</c:v>
                </c:pt>
                <c:pt idx="143">
                  <c:v>10.715570485834609</c:v>
                </c:pt>
                <c:pt idx="144">
                  <c:v>10.666474573036025</c:v>
                </c:pt>
                <c:pt idx="145">
                  <c:v>10.617676777070674</c:v>
                </c:pt>
                <c:pt idx="146">
                  <c:v>10.5680536326007</c:v>
                </c:pt>
                <c:pt idx="147">
                  <c:v>10.518735439407468</c:v>
                </c:pt>
                <c:pt idx="148">
                  <c:v>10.469718682786668</c:v>
                </c:pt>
                <c:pt idx="149">
                  <c:v>10.420999909629016</c:v>
                </c:pt>
                <c:pt idx="150">
                  <c:v>10.371459550403353</c:v>
                </c:pt>
                <c:pt idx="151">
                  <c:v>10.322223991937218</c:v>
                </c:pt>
                <c:pt idx="152">
                  <c:v>10.273289726927612</c:v>
                </c:pt>
                <c:pt idx="153">
                  <c:v>10.224653309446264</c:v>
                </c:pt>
                <c:pt idx="154">
                  <c:v>10.17517688051017</c:v>
                </c:pt>
                <c:pt idx="155">
                  <c:v>10.126005372784611</c:v>
                </c:pt>
                <c:pt idx="156">
                  <c:v>10.077135281718707</c:v>
                </c:pt>
                <c:pt idx="157">
                  <c:v>10.028563164022088</c:v>
                </c:pt>
                <c:pt idx="158">
                  <c:v>9.9791566001578449</c:v>
                </c:pt>
                <c:pt idx="159">
                  <c:v>9.930055046324771</c:v>
                </c:pt>
                <c:pt idx="160">
                  <c:v>9.8812550012803673</c:v>
                </c:pt>
                <c:pt idx="161">
                  <c:v>9.8327530249131954</c:v>
                </c:pt>
                <c:pt idx="162">
                  <c:v>9.7834441891396455</c:v>
                </c:pt>
                <c:pt idx="163">
                  <c:v>9.7344401508915883</c:v>
                </c:pt>
                <c:pt idx="164">
                  <c:v>9.6857374174020645</c:v>
                </c:pt>
                <c:pt idx="165">
                  <c:v>9.6373325567835781</c:v>
                </c:pt>
                <c:pt idx="166">
                  <c:v>9.5880842874076126</c:v>
                </c:pt>
                <c:pt idx="167">
                  <c:v>9.5391411038598122</c:v>
                </c:pt>
                <c:pt idx="168">
                  <c:v>9.4904995132517307</c:v>
                </c:pt>
                <c:pt idx="169">
                  <c:v>9.4421560835197642</c:v>
                </c:pt>
                <c:pt idx="170">
                  <c:v>9.3930795615357638</c:v>
                </c:pt>
                <c:pt idx="171">
                  <c:v>9.3443070836141509</c:v>
                </c:pt>
                <c:pt idx="172">
                  <c:v>9.2958351794610437</c:v>
                </c:pt>
                <c:pt idx="173">
                  <c:v>9.2476604390254629</c:v>
                </c:pt>
                <c:pt idx="174">
                  <c:v>9.1985761969118656</c:v>
                </c:pt>
                <c:pt idx="175">
                  <c:v>9.1497972199666382</c:v>
                </c:pt>
                <c:pt idx="176">
                  <c:v>9.1013200217892596</c:v>
                </c:pt>
                <c:pt idx="177">
                  <c:v>9.0531411765309731</c:v>
                </c:pt>
                <c:pt idx="178">
                  <c:v>9.0040835333574165</c:v>
                </c:pt>
                <c:pt idx="179">
                  <c:v>8.9553320041961832</c:v>
                </c:pt>
                <c:pt idx="180">
                  <c:v>8.9068830928740947</c:v>
                </c:pt>
                <c:pt idx="181">
                  <c:v>8.8587333639289625</c:v>
                </c:pt>
                <c:pt idx="182">
                  <c:v>8.809925357078658</c:v>
                </c:pt>
                <c:pt idx="183">
                  <c:v>8.76142158647008</c:v>
                </c:pt>
                <c:pt idx="184">
                  <c:v>8.7132185925861219</c:v>
                </c:pt>
                <c:pt idx="185">
                  <c:v>8.6653129757073479</c:v>
                </c:pt>
                <c:pt idx="186">
                  <c:v>8.6163985250825288</c:v>
                </c:pt>
                <c:pt idx="187">
                  <c:v>8.5677909137658261</c:v>
                </c:pt>
                <c:pt idx="188">
                  <c:v>8.519486642475119</c:v>
                </c:pt>
                <c:pt idx="189">
                  <c:v>8.4714822725685064</c:v>
                </c:pt>
                <c:pt idx="190">
                  <c:v>8.4228668310942449</c:v>
                </c:pt>
                <c:pt idx="191">
                  <c:v>8.3745558226067764</c:v>
                </c:pt>
                <c:pt idx="192">
                  <c:v>8.3265457932445628</c:v>
                </c:pt>
                <c:pt idx="193">
                  <c:v>8.2788333486663976</c:v>
                </c:pt>
                <c:pt idx="194">
                  <c:v>8.2301759073915051</c:v>
                </c:pt>
                <c:pt idx="195">
                  <c:v>8.1818248026184133</c:v>
                </c:pt>
                <c:pt idx="196">
                  <c:v>8.1337765525036669</c:v>
                </c:pt>
                <c:pt idx="197">
                  <c:v>8.0860277352861214</c:v>
                </c:pt>
                <c:pt idx="198">
                  <c:v>8.0375391642287166</c:v>
                </c:pt>
                <c:pt idx="199">
                  <c:v>7.9893562447058848</c:v>
                </c:pt>
                <c:pt idx="200">
                  <c:v>7.941475510733893</c:v>
                </c:pt>
                <c:pt idx="201">
                  <c:v>7.8938935559638335</c:v>
                </c:pt>
                <c:pt idx="202">
                  <c:v>7.8455969584418073</c:v>
                </c:pt>
                <c:pt idx="203">
                  <c:v>7.7976050825407297</c:v>
                </c:pt>
                <c:pt idx="204">
                  <c:v>7.7499144820716257</c:v>
                </c:pt>
                <c:pt idx="205">
                  <c:v>7.7025217699408843</c:v>
                </c:pt>
                <c:pt idx="206">
                  <c:v>7.6542745299496193</c:v>
                </c:pt>
                <c:pt idx="207">
                  <c:v>7.606332926117318</c:v>
                </c:pt>
                <c:pt idx="208">
                  <c:v>7.5586935006362541</c:v>
                </c:pt>
                <c:pt idx="209">
                  <c:v>7.5113528549670852</c:v>
                </c:pt>
                <c:pt idx="210">
                  <c:v>7.4630272498817725</c:v>
                </c:pt>
                <c:pt idx="211">
                  <c:v>7.4150098780188767</c:v>
                </c:pt>
                <c:pt idx="212">
                  <c:v>7.36729724123491</c:v>
                </c:pt>
                <c:pt idx="213">
                  <c:v>7.3198859014772379</c:v>
                </c:pt>
                <c:pt idx="214">
                  <c:v>7.2718363470440952</c:v>
                </c:pt>
                <c:pt idx="215">
                  <c:v>7.2240931819125684</c:v>
                </c:pt>
                <c:pt idx="216">
                  <c:v>7.1766529426255943</c:v>
                </c:pt>
                <c:pt idx="217">
                  <c:v>7.1295122249239675</c:v>
                </c:pt>
                <c:pt idx="218">
                  <c:v>7.0816029933808213</c:v>
                </c:pt>
                <c:pt idx="219">
                  <c:v>7.0340000780959508</c:v>
                </c:pt>
                <c:pt idx="220">
                  <c:v>6.9867000199959328</c:v>
                </c:pt>
                <c:pt idx="221">
                  <c:v>6.9396994189987389</c:v>
                </c:pt>
                <c:pt idx="222">
                  <c:v>6.8919570987124557</c:v>
                </c:pt>
                <c:pt idx="223">
                  <c:v>6.8445207328286166</c:v>
                </c:pt>
                <c:pt idx="224">
                  <c:v>6.7973868712188148</c:v>
                </c:pt>
                <c:pt idx="225">
                  <c:v>6.7505521224317153</c:v>
                </c:pt>
                <c:pt idx="226">
                  <c:v>6.7028570518165784</c:v>
                </c:pt>
                <c:pt idx="227">
                  <c:v>6.6554691580917771</c:v>
                </c:pt>
                <c:pt idx="228">
                  <c:v>6.6083849729967623</c:v>
                </c:pt>
                <c:pt idx="229">
                  <c:v>6.5616010872400725</c:v>
                </c:pt>
                <c:pt idx="230">
                  <c:v>6.4666818124130012</c:v>
                </c:pt>
                <c:pt idx="231">
                  <c:v>6.4196807301780359</c:v>
                </c:pt>
                <c:pt idx="232">
                  <c:v>6.3729807699360608</c:v>
                </c:pt>
                <c:pt idx="233">
                  <c:v>6.3254806230857907</c:v>
                </c:pt>
                <c:pt idx="234">
                  <c:v>6.2782889920260363</c:v>
                </c:pt>
                <c:pt idx="235">
                  <c:v>6.2314023897201132</c:v>
                </c:pt>
                <c:pt idx="236">
                  <c:v>6.1848173882699884</c:v>
                </c:pt>
                <c:pt idx="237">
                  <c:v>6.1375945294076626</c:v>
                </c:pt>
                <c:pt idx="238">
                  <c:v>6.0906786074745201</c:v>
                </c:pt>
                <c:pt idx="239">
                  <c:v>6.0440661633286021</c:v>
                </c:pt>
                <c:pt idx="240">
                  <c:v>5.9977537962030407</c:v>
                </c:pt>
                <c:pt idx="241">
                  <c:v>5.9505654875061786</c:v>
                </c:pt>
                <c:pt idx="242">
                  <c:v>5.9036857342418072</c:v>
                </c:pt>
                <c:pt idx="243">
                  <c:v>5.8571110506776067</c:v>
                </c:pt>
                <c:pt idx="244">
                  <c:v>5.8108380099114187</c:v>
                </c:pt>
                <c:pt idx="245">
                  <c:v>5.7638477639191681</c:v>
                </c:pt>
                <c:pt idx="246">
                  <c:v>5.7171656200724605</c:v>
                </c:pt>
                <c:pt idx="247">
                  <c:v>5.670788100459264</c:v>
                </c:pt>
                <c:pt idx="248">
                  <c:v>5.6247117856736493</c:v>
                </c:pt>
                <c:pt idx="249">
                  <c:v>5.5778204582033091</c:v>
                </c:pt>
                <c:pt idx="250">
                  <c:v>5.5312381261040127</c:v>
                </c:pt>
                <c:pt idx="251">
                  <c:v>5.4849612959165741</c:v>
                </c:pt>
                <c:pt idx="252">
                  <c:v>5.4389865328806506</c:v>
                </c:pt>
                <c:pt idx="253">
                  <c:v>5.3923469735595475</c:v>
                </c:pt>
                <c:pt idx="254">
                  <c:v>5.3460153448085981</c:v>
                </c:pt>
                <c:pt idx="255">
                  <c:v>5.299988170037726</c:v>
                </c:pt>
                <c:pt idx="256">
                  <c:v>5.2542620308186088</c:v>
                </c:pt>
                <c:pt idx="257">
                  <c:v>5.2076605882946323</c:v>
                </c:pt>
                <c:pt idx="258">
                  <c:v>5.1613688743294848</c:v>
                </c:pt>
                <c:pt idx="259">
                  <c:v>5.1153833800605</c:v>
                </c:pt>
                <c:pt idx="260">
                  <c:v>5.0697006553373765</c:v>
                </c:pt>
                <c:pt idx="261">
                  <c:v>5.0232893207258495</c:v>
                </c:pt>
                <c:pt idx="262">
                  <c:v>4.9771875570049549</c:v>
                </c:pt>
                <c:pt idx="263">
                  <c:v>4.9313918553217464</c:v>
                </c:pt>
                <c:pt idx="264">
                  <c:v>4.8858987653607251</c:v>
                </c:pt>
                <c:pt idx="265">
                  <c:v>4.839703958632362</c:v>
                </c:pt>
                <c:pt idx="266">
                  <c:v>4.793818253065365</c:v>
                </c:pt>
                <c:pt idx="267">
                  <c:v>4.7482381442567752</c:v>
                </c:pt>
                <c:pt idx="268">
                  <c:v>4.702960186062727</c:v>
                </c:pt>
                <c:pt idx="269">
                  <c:v>4.6568982026932373</c:v>
                </c:pt>
                <c:pt idx="270">
                  <c:v>4.6111460078769602</c:v>
                </c:pt>
                <c:pt idx="271">
                  <c:v>4.565700081100835</c:v>
                </c:pt>
                <c:pt idx="272">
                  <c:v>4.520556960281052</c:v>
                </c:pt>
                <c:pt idx="273">
                  <c:v>4.4746591920931795</c:v>
                </c:pt>
                <c:pt idx="274">
                  <c:v>4.4290715232392373</c:v>
                </c:pt>
                <c:pt idx="275">
                  <c:v>4.3837904224677873</c:v>
                </c:pt>
                <c:pt idx="276">
                  <c:v>4.3388124170018445</c:v>
                </c:pt>
                <c:pt idx="277">
                  <c:v>4.2932107298136257</c:v>
                </c:pt>
                <c:pt idx="278">
                  <c:v>4.2479177079182584</c:v>
                </c:pt>
                <c:pt idx="279">
                  <c:v>4.2029298379867184</c:v>
                </c:pt>
                <c:pt idx="280">
                  <c:v>4.158243664575215</c:v>
                </c:pt>
                <c:pt idx="281">
                  <c:v>4.1126575264662995</c:v>
                </c:pt>
                <c:pt idx="282">
                  <c:v>4.0673824438271069</c:v>
                </c:pt>
                <c:pt idx="283">
                  <c:v>4.0224148548589245</c:v>
                </c:pt>
                <c:pt idx="284">
                  <c:v>3.9777512565099342</c:v>
                </c:pt>
                <c:pt idx="285">
                  <c:v>3.9325137003046837</c:v>
                </c:pt>
                <c:pt idx="286">
                  <c:v>3.8875851024647909</c:v>
                </c:pt>
                <c:pt idx="287">
                  <c:v>3.8429619282003316</c:v>
                </c:pt>
                <c:pt idx="288">
                  <c:v>3.798640700673058</c:v>
                </c:pt>
                <c:pt idx="289">
                  <c:v>3.753483411387629</c:v>
                </c:pt>
                <c:pt idx="290">
                  <c:v>3.7086366576482579</c:v>
                </c:pt>
                <c:pt idx="291">
                  <c:v>3.6640968674288028</c:v>
                </c:pt>
                <c:pt idx="292">
                  <c:v>3.6198605272592372</c:v>
                </c:pt>
                <c:pt idx="293">
                  <c:v>3.5749123643701237</c:v>
                </c:pt>
                <c:pt idx="294">
                  <c:v>3.5302745801488653</c:v>
                </c:pt>
                <c:pt idx="295">
                  <c:v>3.4859435936544161</c:v>
                </c:pt>
                <c:pt idx="296">
                  <c:v>3.4419158824850631</c:v>
                </c:pt>
                <c:pt idx="297">
                  <c:v>3.3972037233704615</c:v>
                </c:pt>
                <c:pt idx="298">
                  <c:v>3.3528014265026047</c:v>
                </c:pt>
                <c:pt idx="299">
                  <c:v>3.3087054067909447</c:v>
                </c:pt>
                <c:pt idx="300">
                  <c:v>3.2649121375625616</c:v>
                </c:pt>
                <c:pt idx="301">
                  <c:v>3.2204607909073131</c:v>
                </c:pt>
                <c:pt idx="302">
                  <c:v>3.1763184483029825</c:v>
                </c:pt>
                <c:pt idx="303">
                  <c:v>3.1324815249496507</c:v>
                </c:pt>
                <c:pt idx="304">
                  <c:v>3.0889464942481015</c:v>
                </c:pt>
                <c:pt idx="305">
                  <c:v>3.0446094895682791</c:v>
                </c:pt>
                <c:pt idx="306">
                  <c:v>3.0005826647095883</c:v>
                </c:pt>
                <c:pt idx="307">
                  <c:v>2.9568623981591067</c:v>
                </c:pt>
                <c:pt idx="308">
                  <c:v>2.9134451271869337</c:v>
                </c:pt>
                <c:pt idx="309">
                  <c:v>2.8694219312422269</c:v>
                </c:pt>
                <c:pt idx="310">
                  <c:v>2.82570730987783</c:v>
                </c:pt>
                <c:pt idx="311">
                  <c:v>2.7822976516588129</c:v>
                </c:pt>
                <c:pt idx="312">
                  <c:v>2.7391894035086528</c:v>
                </c:pt>
                <c:pt idx="313">
                  <c:v>2.6953386075145218</c:v>
                </c:pt>
                <c:pt idx="314">
                  <c:v>2.6517967380059111</c:v>
                </c:pt>
                <c:pt idx="315">
                  <c:v>2.6085601576168282</c:v>
                </c:pt>
                <c:pt idx="316">
                  <c:v>2.5656252876934365</c:v>
                </c:pt>
                <c:pt idx="317">
                  <c:v>2.5219770537144477</c:v>
                </c:pt>
                <c:pt idx="318">
                  <c:v>2.4786376598626685</c:v>
                </c:pt>
                <c:pt idx="319">
                  <c:v>2.4356034485756699</c:v>
                </c:pt>
                <c:pt idx="320">
                  <c:v>2.3928708212384171</c:v>
                </c:pt>
                <c:pt idx="321">
                  <c:v>2.3494529042174976</c:v>
                </c:pt>
                <c:pt idx="322">
                  <c:v>2.3063433213307398</c:v>
                </c:pt>
                <c:pt idx="323">
                  <c:v>2.2635384002669969</c:v>
                </c:pt>
                <c:pt idx="324">
                  <c:v>2.2210345277877614</c:v>
                </c:pt>
                <c:pt idx="325">
                  <c:v>2.1778723424379791</c:v>
                </c:pt>
                <c:pt idx="326">
                  <c:v>2.1350175841761541</c:v>
                </c:pt>
                <c:pt idx="327">
                  <c:v>2.0924665711078028</c:v>
                </c:pt>
                <c:pt idx="328">
                  <c:v>2.0502156804352367</c:v>
                </c:pt>
                <c:pt idx="329">
                  <c:v>2.007260916190424</c:v>
                </c:pt>
                <c:pt idx="330">
                  <c:v>1.9646133079004044</c:v>
                </c:pt>
                <c:pt idx="331">
                  <c:v>1.9222691506024123</c:v>
                </c:pt>
                <c:pt idx="332">
                  <c:v>1.8802247987536991</c:v>
                </c:pt>
                <c:pt idx="333">
                  <c:v>1.8375738696066111</c:v>
                </c:pt>
                <c:pt idx="334">
                  <c:v>1.7952283909392541</c:v>
                </c:pt>
                <c:pt idx="335">
                  <c:v>1.7531846585049073</c:v>
                </c:pt>
                <c:pt idx="336">
                  <c:v>1.7114390273071045</c:v>
                </c:pt>
                <c:pt idx="337">
                  <c:v>1.6689756192346223</c:v>
                </c:pt>
                <c:pt idx="338">
                  <c:v>1.6268175438978592</c:v>
                </c:pt>
                <c:pt idx="339">
                  <c:v>1.5849610667872436</c:v>
                </c:pt>
                <c:pt idx="340">
                  <c:v>1.5434025131491234</c:v>
                </c:pt>
                <c:pt idx="341">
                  <c:v>1.5011546588757898</c:v>
                </c:pt>
                <c:pt idx="342">
                  <c:v>1.4592115421625622</c:v>
                </c:pt>
                <c:pt idx="343">
                  <c:v>1.4175694045149005</c:v>
                </c:pt>
                <c:pt idx="344">
                  <c:v>1.3762245475848169</c:v>
                </c:pt>
                <c:pt idx="345">
                  <c:v>1.3342813785327103</c:v>
                </c:pt>
                <c:pt idx="346">
                  <c:v>1.2926409765844578</c:v>
                </c:pt>
                <c:pt idx="347">
                  <c:v>1.2512995823874147</c:v>
                </c:pt>
                <c:pt idx="348">
                  <c:v>1.2102534966554304</c:v>
                </c:pt>
                <c:pt idx="349">
                  <c:v>1.1685086820451802</c:v>
                </c:pt>
                <c:pt idx="350">
                  <c:v>1.127066085973361</c:v>
                </c:pt>
                <c:pt idx="351">
                  <c:v>1.0859219195235892</c:v>
                </c:pt>
                <c:pt idx="352">
                  <c:v>1.0450724544004071</c:v>
                </c:pt>
                <c:pt idx="353">
                  <c:v>1.0035518620162316</c:v>
                </c:pt>
                <c:pt idx="354">
                  <c:v>0.96233245159015568</c:v>
                </c:pt>
                <c:pt idx="355">
                  <c:v>0.92141041122166578</c:v>
                </c:pt>
                <c:pt idx="356">
                  <c:v>0.88078199007287661</c:v>
                </c:pt>
                <c:pt idx="357">
                  <c:v>0.83956722619191648</c:v>
                </c:pt>
                <c:pt idx="358">
                  <c:v>0.79865129596688167</c:v>
                </c:pt>
                <c:pt idx="359">
                  <c:v>0.75803038704735026</c:v>
                </c:pt>
                <c:pt idx="360">
                  <c:v>0.71770074813700391</c:v>
                </c:pt>
                <c:pt idx="361">
                  <c:v>0.67669391824913949</c:v>
                </c:pt>
                <c:pt idx="362">
                  <c:v>0.63598484145449596</c:v>
                </c:pt>
                <c:pt idx="363">
                  <c:v>0.59556967845228559</c:v>
                </c:pt>
                <c:pt idx="364">
                  <c:v>0.55544465158505374</c:v>
                </c:pt>
                <c:pt idx="365">
                  <c:v>0.51472396616824068</c:v>
                </c:pt>
                <c:pt idx="366">
                  <c:v>0.4742986640627595</c:v>
                </c:pt>
                <c:pt idx="367">
                  <c:v>0.4341649014904389</c:v>
                </c:pt>
                <c:pt idx="368">
                  <c:v>0.39431889646127749</c:v>
                </c:pt>
                <c:pt idx="369">
                  <c:v>0.35379290644977179</c:v>
                </c:pt>
                <c:pt idx="370">
                  <c:v>0.31356107885253803</c:v>
                </c:pt>
                <c:pt idx="371">
                  <c:v>0.27361954067893041</c:v>
                </c:pt>
                <c:pt idx="372">
                  <c:v>0.23396448143924936</c:v>
                </c:pt>
                <c:pt idx="373">
                  <c:v>0.19370767713754847</c:v>
                </c:pt>
                <c:pt idx="374">
                  <c:v>0.15374255162203118</c:v>
                </c:pt>
                <c:pt idx="375">
                  <c:v>0.11406522512202744</c:v>
                </c:pt>
                <c:pt idx="376">
                  <c:v>7.467188064120707E-2</c:v>
                </c:pt>
                <c:pt idx="377">
                  <c:v>3.4598391886321966E-2</c:v>
                </c:pt>
                <c:pt idx="378">
                  <c:v>-5.184863059645258E-3</c:v>
                </c:pt>
                <c:pt idx="379">
                  <c:v>-4.4681793791111021E-2</c:v>
                </c:pt>
                <c:pt idx="380">
                  <c:v>-8.3896246313727732E-2</c:v>
                </c:pt>
                <c:pt idx="381">
                  <c:v>-0.12366682699413381</c:v>
                </c:pt>
                <c:pt idx="382">
                  <c:v>-0.16315055708981982</c:v>
                </c:pt>
                <c:pt idx="383">
                  <c:v>-0.20235133920745302</c:v>
                </c:pt>
                <c:pt idx="384">
                  <c:v>-0.24127301229953479</c:v>
                </c:pt>
                <c:pt idx="385">
                  <c:v>-0.28087366655520518</c:v>
                </c:pt>
                <c:pt idx="386">
                  <c:v>-0.32018916972979811</c:v>
                </c:pt>
                <c:pt idx="387">
                  <c:v>-0.35922345380973503</c:v>
                </c:pt>
                <c:pt idx="388">
                  <c:v>-0.39798038622324905</c:v>
                </c:pt>
                <c:pt idx="389">
                  <c:v>-0.43734472707554273</c:v>
                </c:pt>
                <c:pt idx="390">
                  <c:v>-0.47642681196812392</c:v>
                </c:pt>
                <c:pt idx="391">
                  <c:v>-0.51523057992946719</c:v>
                </c:pt>
                <c:pt idx="392">
                  <c:v>-0.55375990495947314</c:v>
                </c:pt>
                <c:pt idx="393">
                  <c:v>-0.59287475699622427</c:v>
                </c:pt>
                <c:pt idx="394">
                  <c:v>-0.631710689007416</c:v>
                </c:pt>
                <c:pt idx="395">
                  <c:v>-0.67027163964842207</c:v>
                </c:pt>
                <c:pt idx="396">
                  <c:v>-0.70856148218612969</c:v>
                </c:pt>
                <c:pt idx="397">
                  <c:v>-0.74750382461311882</c:v>
                </c:pt>
                <c:pt idx="398">
                  <c:v>-0.78616975688941637</c:v>
                </c:pt>
                <c:pt idx="399">
                  <c:v>-0.82456323660976838</c:v>
                </c:pt>
                <c:pt idx="400">
                  <c:v>-0.86268815513766439</c:v>
                </c:pt>
                <c:pt idx="401">
                  <c:v>-0.90139994462656436</c:v>
                </c:pt>
                <c:pt idx="402">
                  <c:v>-0.93983893516708816</c:v>
                </c:pt>
                <c:pt idx="403">
                  <c:v>-0.97800908152028221</c:v>
                </c:pt>
                <c:pt idx="404">
                  <c:v>-1.0159142717993981</c:v>
                </c:pt>
                <c:pt idx="405">
                  <c:v>-1.054427806858441</c:v>
                </c:pt>
                <c:pt idx="406">
                  <c:v>-1.0926719881798381</c:v>
                </c:pt>
                <c:pt idx="407">
                  <c:v>-1.1306507726974566</c:v>
                </c:pt>
                <c:pt idx="408">
                  <c:v>-1.1683680501114888</c:v>
                </c:pt>
                <c:pt idx="409">
                  <c:v>-1.2067135536064124</c:v>
                </c:pt>
                <c:pt idx="410">
                  <c:v>-1.244793030086097</c:v>
                </c:pt>
                <c:pt idx="411">
                  <c:v>-1.2826104427237444</c:v>
                </c:pt>
                <c:pt idx="412">
                  <c:v>-1.3201696867204356</c:v>
                </c:pt>
                <c:pt idx="413">
                  <c:v>-1.3583364178547266</c:v>
                </c:pt>
                <c:pt idx="414">
                  <c:v>-1.3962409100881188</c:v>
                </c:pt>
                <c:pt idx="415">
                  <c:v>-1.4338871238580828</c:v>
                </c:pt>
                <c:pt idx="416">
                  <c:v>-1.471278951034287</c:v>
                </c:pt>
                <c:pt idx="417">
                  <c:v>-1.5092969715888929</c:v>
                </c:pt>
                <c:pt idx="418">
                  <c:v>-1.5470564508984959</c:v>
                </c:pt>
                <c:pt idx="419">
                  <c:v>-1.5845613497866198</c:v>
                </c:pt>
                <c:pt idx="420">
                  <c:v>-1.6218155597797923</c:v>
                </c:pt>
                <c:pt idx="421">
                  <c:v>-1.6596392169647247</c:v>
                </c:pt>
                <c:pt idx="422">
                  <c:v>-1.6972089715059546</c:v>
                </c:pt>
                <c:pt idx="423">
                  <c:v>-1.7345287637605347</c:v>
                </c:pt>
                <c:pt idx="424">
                  <c:v>-1.7716024644858561</c:v>
                </c:pt>
                <c:pt idx="425">
                  <c:v>-1.8093371386605208</c:v>
                </c:pt>
                <c:pt idx="426">
                  <c:v>-1.8468214707975605</c:v>
                </c:pt>
                <c:pt idx="427">
                  <c:v>-1.8840594063984353</c:v>
                </c:pt>
                <c:pt idx="428">
                  <c:v>-1.9210548203990321</c:v>
                </c:pt>
                <c:pt idx="429">
                  <c:v>-1.9586561499506021</c:v>
                </c:pt>
                <c:pt idx="430">
                  <c:v>-1.9960116313769642</c:v>
                </c:pt>
                <c:pt idx="431">
                  <c:v>-2.0331251939524457</c:v>
                </c:pt>
                <c:pt idx="432">
                  <c:v>-2.0700006958645609</c:v>
                </c:pt>
                <c:pt idx="433">
                  <c:v>-2.1074649733977195</c:v>
                </c:pt>
                <c:pt idx="434">
                  <c:v>-2.1446882776815919</c:v>
                </c:pt>
                <c:pt idx="435">
                  <c:v>-2.1816745125727803</c:v>
                </c:pt>
                <c:pt idx="436">
                  <c:v>-2.2184275104861633</c:v>
                </c:pt>
                <c:pt idx="437">
                  <c:v>-2.2558202630231694</c:v>
                </c:pt>
                <c:pt idx="438">
                  <c:v>-2.2929764165333304</c:v>
                </c:pt>
                <c:pt idx="439">
                  <c:v>-2.3298998613689639</c:v>
                </c:pt>
                <c:pt idx="440">
                  <c:v>-2.3665944157398604</c:v>
                </c:pt>
                <c:pt idx="441">
                  <c:v>-2.4039115785657383</c:v>
                </c:pt>
                <c:pt idx="442">
                  <c:v>-2.4409969168124186</c:v>
                </c:pt>
                <c:pt idx="443">
                  <c:v>-2.477854297205742</c:v>
                </c:pt>
                <c:pt idx="444">
                  <c:v>-2.5144875138207712</c:v>
                </c:pt>
                <c:pt idx="445">
                  <c:v>-2.5517274885996963</c:v>
                </c:pt>
                <c:pt idx="446">
                  <c:v>-2.58874076941557</c:v>
                </c:pt>
                <c:pt idx="447">
                  <c:v>-2.6255311896945437</c:v>
                </c:pt>
                <c:pt idx="448">
                  <c:v>-2.6621025098953481</c:v>
                </c:pt>
                <c:pt idx="449">
                  <c:v>-2.6993280955909582</c:v>
                </c:pt>
                <c:pt idx="450">
                  <c:v>-2.7363316942320788</c:v>
                </c:pt>
                <c:pt idx="451">
                  <c:v>-2.7731171156803565</c:v>
                </c:pt>
                <c:pt idx="452">
                  <c:v>-2.8096880962172599</c:v>
                </c:pt>
                <c:pt idx="453">
                  <c:v>-2.8468674209058227</c:v>
                </c:pt>
                <c:pt idx="454">
                  <c:v>-2.8838301785730112</c:v>
                </c:pt>
                <c:pt idx="455">
                  <c:v>-2.9205801359720605</c:v>
                </c:pt>
                <c:pt idx="456">
                  <c:v>-2.9571209861190657</c:v>
                </c:pt>
                <c:pt idx="457">
                  <c:v>-2.9943161788637078</c:v>
                </c:pt>
                <c:pt idx="458">
                  <c:v>-3.0312998243866955</c:v>
                </c:pt>
                <c:pt idx="459">
                  <c:v>-3.0680756550792934</c:v>
                </c:pt>
                <c:pt idx="460">
                  <c:v>-3.1046473291706356</c:v>
                </c:pt>
                <c:pt idx="461">
                  <c:v>-3.1418592170271871</c:v>
                </c:pt>
                <c:pt idx="462">
                  <c:v>-3.1788648908508561</c:v>
                </c:pt>
                <c:pt idx="463">
                  <c:v>-3.2156680386013377</c:v>
                </c:pt>
                <c:pt idx="464">
                  <c:v>-3.252272273877689</c:v>
                </c:pt>
                <c:pt idx="465">
                  <c:v>-3.2895321553386854</c:v>
                </c:pt>
                <c:pt idx="466">
                  <c:v>-3.3265911181690107</c:v>
                </c:pt>
                <c:pt idx="467">
                  <c:v>-3.3634528047204801</c:v>
                </c:pt>
                <c:pt idx="468">
                  <c:v>-3.4001207827843096</c:v>
                </c:pt>
                <c:pt idx="469">
                  <c:v>-3.4374317151872265</c:v>
                </c:pt>
                <c:pt idx="470">
                  <c:v>-3.4745472852918597</c:v>
                </c:pt>
                <c:pt idx="471">
                  <c:v>-3.5114710802540205</c:v>
                </c:pt>
                <c:pt idx="472">
                  <c:v>-3.5482066127028435</c:v>
                </c:pt>
                <c:pt idx="473">
                  <c:v>-3.5856279435795657</c:v>
                </c:pt>
                <c:pt idx="474">
                  <c:v>-3.6228591335091154</c:v>
                </c:pt>
                <c:pt idx="475">
                  <c:v>-3.6599037208781162</c:v>
                </c:pt>
                <c:pt idx="476">
                  <c:v>-3.6967651693793595</c:v>
                </c:pt>
                <c:pt idx="477">
                  <c:v>-3.734300301360038</c:v>
                </c:pt>
                <c:pt idx="478">
                  <c:v>-3.7716507585954751</c:v>
                </c:pt>
                <c:pt idx="479">
                  <c:v>-3.8088200209439322</c:v>
                </c:pt>
                <c:pt idx="480">
                  <c:v>-3.845811493656075</c:v>
                </c:pt>
                <c:pt idx="481">
                  <c:v>-3.8834656356954618</c:v>
                </c:pt>
                <c:pt idx="482">
                  <c:v>-3.9209407655359092</c:v>
                </c:pt>
                <c:pt idx="483">
                  <c:v>-3.9582402955545564</c:v>
                </c:pt>
                <c:pt idx="484">
                  <c:v>-3.9953675638536703</c:v>
                </c:pt>
                <c:pt idx="485">
                  <c:v>-4.0331731946566984</c:v>
                </c:pt>
                <c:pt idx="486">
                  <c:v>-4.0708053917913816</c:v>
                </c:pt>
                <c:pt idx="487">
                  <c:v>-4.1082674987916956</c:v>
                </c:pt>
                <c:pt idx="488">
                  <c:v>-4.1455627852885231</c:v>
                </c:pt>
                <c:pt idx="489">
                  <c:v>-4.1835771680338736</c:v>
                </c:pt>
                <c:pt idx="490">
                  <c:v>-4.2214233927729996</c:v>
                </c:pt>
                <c:pt idx="491">
                  <c:v>-4.2591047390668431</c:v>
                </c:pt>
                <c:pt idx="492">
                  <c:v>-4.2966244128028146</c:v>
                </c:pt>
                <c:pt idx="493">
                  <c:v>-4.3348531263994223</c:v>
                </c:pt>
                <c:pt idx="494">
                  <c:v>-4.3729191184000724</c:v>
                </c:pt>
                <c:pt idx="495">
                  <c:v>-4.4108255956824705</c:v>
                </c:pt>
                <c:pt idx="496">
                  <c:v>-4.4485756919464041</c:v>
                </c:pt>
                <c:pt idx="497">
                  <c:v>-4.4870501154429991</c:v>
                </c:pt>
                <c:pt idx="498">
                  <c:v>-4.5253671700530465</c:v>
                </c:pt>
                <c:pt idx="499">
                  <c:v>-4.5635299881054774</c:v>
                </c:pt>
                <c:pt idx="500">
                  <c:v>-4.6015416293194926</c:v>
                </c:pt>
                <c:pt idx="501">
                  <c:v>-4.6402928155640275</c:v>
                </c:pt>
                <c:pt idx="502">
                  <c:v>-4.678891899029721</c:v>
                </c:pt>
                <c:pt idx="503">
                  <c:v>-4.7173419355718522</c:v>
                </c:pt>
                <c:pt idx="504">
                  <c:v>-4.7556459090857786</c:v>
                </c:pt>
                <c:pt idx="505">
                  <c:v>-4.794680975246667</c:v>
                </c:pt>
                <c:pt idx="506">
                  <c:v>-4.8335692901122398</c:v>
                </c:pt>
                <c:pt idx="507">
                  <c:v>-4.8723138257897682</c:v>
                </c:pt>
                <c:pt idx="508">
                  <c:v>-4.910917483336573</c:v>
                </c:pt>
                <c:pt idx="509">
                  <c:v>-4.9502679013512294</c:v>
                </c:pt>
                <c:pt idx="510">
                  <c:v>-4.9894767962634567</c:v>
                </c:pt>
                <c:pt idx="511">
                  <c:v>-5.028547055257607</c:v>
                </c:pt>
                <c:pt idx="512">
                  <c:v>-5.067481495458221</c:v>
                </c:pt>
                <c:pt idx="513">
                  <c:v>-5.1072012816348922</c:v>
                </c:pt>
                <c:pt idx="514">
                  <c:v>-5.1467844894484971</c:v>
                </c:pt>
                <c:pt idx="515">
                  <c:v>-5.1862339248597786</c:v>
                </c:pt>
                <c:pt idx="516">
                  <c:v>-5.2255523246882678</c:v>
                </c:pt>
                <c:pt idx="517">
                  <c:v>-5.2656485603719645</c:v>
                </c:pt>
                <c:pt idx="518">
                  <c:v>-5.3056132029137064</c:v>
                </c:pt>
                <c:pt idx="519">
                  <c:v>-5.345448970828901</c:v>
                </c:pt>
                <c:pt idx="520">
                  <c:v>-5.3851585146694694</c:v>
                </c:pt>
                <c:pt idx="521">
                  <c:v>-5.4256614898943836</c:v>
                </c:pt>
                <c:pt idx="522">
                  <c:v>-5.4660377198080727</c:v>
                </c:pt>
                <c:pt idx="523">
                  <c:v>-5.5062898346615397</c:v>
                </c:pt>
                <c:pt idx="524">
                  <c:v>-5.5464203980145976</c:v>
                </c:pt>
                <c:pt idx="525">
                  <c:v>-5.5873599842184287</c:v>
                </c:pt>
                <c:pt idx="526">
                  <c:v>-5.6281775304834314</c:v>
                </c:pt>
                <c:pt idx="527">
                  <c:v>-5.6688755781815274</c:v>
                </c:pt>
                <c:pt idx="528">
                  <c:v>-5.709456603362816</c:v>
                </c:pt>
                <c:pt idx="529">
                  <c:v>-5.7508622453757337</c:v>
                </c:pt>
                <c:pt idx="530">
                  <c:v>-5.7921504052961206</c:v>
                </c:pt>
                <c:pt idx="531">
                  <c:v>-5.8333235352484252</c:v>
                </c:pt>
                <c:pt idx="532">
                  <c:v>-5.8743840235030689</c:v>
                </c:pt>
                <c:pt idx="533">
                  <c:v>-5.9163063315882489</c:v>
                </c:pt>
                <c:pt idx="534">
                  <c:v>-5.9581154475157643</c:v>
                </c:pt>
                <c:pt idx="535">
                  <c:v>-5.9998137376921612</c:v>
                </c:pt>
                <c:pt idx="536">
                  <c:v>-6.0414035061092806</c:v>
                </c:pt>
                <c:pt idx="537">
                  <c:v>-6.083827613135969</c:v>
                </c:pt>
                <c:pt idx="538">
                  <c:v>-6.1261428969704248</c:v>
                </c:pt>
                <c:pt idx="539">
                  <c:v>-6.1683516311903297</c:v>
                </c:pt>
                <c:pt idx="540">
                  <c:v>-6.2104560287533337</c:v>
                </c:pt>
                <c:pt idx="541">
                  <c:v>-6.2534530369918286</c:v>
                </c:pt>
                <c:pt idx="542">
                  <c:v>-6.2963452078932978</c:v>
                </c:pt>
                <c:pt idx="543">
                  <c:v>-6.3391347297328871</c:v>
                </c:pt>
                <c:pt idx="544">
                  <c:v>-6.3818237318117319</c:v>
                </c:pt>
                <c:pt idx="545">
                  <c:v>-6.4253997085426082</c:v>
                </c:pt>
                <c:pt idx="546">
                  <c:v>-6.4688747830354405</c:v>
                </c:pt>
                <c:pt idx="547">
                  <c:v>-6.5122510557427491</c:v>
                </c:pt>
                <c:pt idx="548">
                  <c:v>-6.5555305700066455</c:v>
                </c:pt>
                <c:pt idx="549">
                  <c:v>-6.5997126995882436</c:v>
                </c:pt>
                <c:pt idx="550">
                  <c:v>-6.6437976963715171</c:v>
                </c:pt>
                <c:pt idx="551">
                  <c:v>-6.6877875744014572</c:v>
                </c:pt>
                <c:pt idx="552">
                  <c:v>-6.7316842925659559</c:v>
                </c:pt>
                <c:pt idx="553">
                  <c:v>-6.7765198741857322</c:v>
                </c:pt>
                <c:pt idx="554">
                  <c:v>-6.8212618413675861</c:v>
                </c:pt>
                <c:pt idx="555">
                  <c:v>-6.8659121262315317</c:v>
                </c:pt>
                <c:pt idx="556">
                  <c:v>-6.9104726076842269</c:v>
                </c:pt>
                <c:pt idx="557">
                  <c:v>-7.0014118544765047</c:v>
                </c:pt>
                <c:pt idx="558">
                  <c:v>-7.0919974691940002</c:v>
                </c:pt>
                <c:pt idx="559">
                  <c:v>-7.1843083575044684</c:v>
                </c:pt>
                <c:pt idx="560">
                  <c:v>-7.2762784684683659</c:v>
                </c:pt>
                <c:pt idx="561">
                  <c:v>-7.3700918403149327</c:v>
                </c:pt>
                <c:pt idx="562">
                  <c:v>-7.4635761189028651</c:v>
                </c:pt>
                <c:pt idx="563">
                  <c:v>-7.5587402982128413</c:v>
                </c:pt>
                <c:pt idx="564">
                  <c:v>-7.6535878718883863</c:v>
                </c:pt>
                <c:pt idx="565">
                  <c:v>-7.7505109055713834</c:v>
                </c:pt>
                <c:pt idx="566">
                  <c:v>-7.8471269376560038</c:v>
                </c:pt>
                <c:pt idx="567">
                  <c:v>-7.9458129157488191</c:v>
                </c:pt>
                <c:pt idx="568">
                  <c:v>-8.0442014597666862</c:v>
                </c:pt>
                <c:pt idx="569">
                  <c:v>-8.1442633849756074</c:v>
                </c:pt>
                <c:pt idx="570">
                  <c:v>-8.2440396009180823</c:v>
                </c:pt>
                <c:pt idx="571">
                  <c:v>-8.3462688335022825</c:v>
                </c:pt>
                <c:pt idx="572">
                  <c:v>-8.4482195675560785</c:v>
                </c:pt>
                <c:pt idx="573">
                  <c:v>-8.5518406404484342</c:v>
                </c:pt>
                <c:pt idx="574">
                  <c:v>-8.6551946902813732</c:v>
                </c:pt>
                <c:pt idx="575">
                  <c:v>-8.7609917095907761</c:v>
                </c:pt>
                <c:pt idx="576">
                  <c:v>-8.8665292480936344</c:v>
                </c:pt>
                <c:pt idx="577">
                  <c:v>-9.310684709696833</c:v>
                </c:pt>
                <c:pt idx="578">
                  <c:v>-9.7510683236267663</c:v>
                </c:pt>
                <c:pt idx="579">
                  <c:v>-10.705837092569388</c:v>
                </c:pt>
                <c:pt idx="580">
                  <c:v>-11.743017783645941</c:v>
                </c:pt>
                <c:pt idx="581">
                  <c:v>-12.875561261676879</c:v>
                </c:pt>
                <c:pt idx="582">
                  <c:v>-14.125996256260727</c:v>
                </c:pt>
                <c:pt idx="583">
                  <c:v>-15.52993161299705</c:v>
                </c:pt>
                <c:pt idx="584">
                  <c:v>-17.155518291613376</c:v>
                </c:pt>
                <c:pt idx="585">
                  <c:v>-19.136640343322668</c:v>
                </c:pt>
                <c:pt idx="586">
                  <c:v>-21.774663761355271</c:v>
                </c:pt>
                <c:pt idx="587">
                  <c:v>-25.864316141720085</c:v>
                </c:pt>
                <c:pt idx="588">
                  <c:v>-34.556747019003502</c:v>
                </c:pt>
                <c:pt idx="589">
                  <c:v>-39.047564516265815</c:v>
                </c:pt>
                <c:pt idx="590">
                  <c:v>-30.01250579194004</c:v>
                </c:pt>
                <c:pt idx="591">
                  <c:v>-27.960206536044314</c:v>
                </c:pt>
                <c:pt idx="592">
                  <c:v>-27.965009368180993</c:v>
                </c:pt>
                <c:pt idx="593">
                  <c:v>-28.995646325284497</c:v>
                </c:pt>
                <c:pt idx="594">
                  <c:v>-30.938719535139498</c:v>
                </c:pt>
                <c:pt idx="595">
                  <c:v>-34.908477655457474</c:v>
                </c:pt>
                <c:pt idx="596">
                  <c:v>-53.141460584222848</c:v>
                </c:pt>
                <c:pt idx="597">
                  <c:v>-38.786344553648682</c:v>
                </c:pt>
                <c:pt idx="598">
                  <c:v>-36.567162117808934</c:v>
                </c:pt>
                <c:pt idx="599">
                  <c:v>-37.885219440791367</c:v>
                </c:pt>
                <c:pt idx="600">
                  <c:v>-44.080956054153106</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-10.258495592910318</c:v>
                </c:pt>
                <c:pt idx="1">
                  <c:v>-63.268840380462962</c:v>
                </c:pt>
                <c:pt idx="2">
                  <c:v>-65.332656657530237</c:v>
                </c:pt>
                <c:pt idx="3">
                  <c:v>-67.276576776243942</c:v>
                </c:pt>
                <c:pt idx="4">
                  <c:v>-69.09812190400288</c:v>
                </c:pt>
                <c:pt idx="5">
                  <c:v>-70.801018257106023</c:v>
                </c:pt>
                <c:pt idx="6">
                  <c:v>-72.385194059113701</c:v>
                </c:pt>
                <c:pt idx="7">
                  <c:v>-73.855494620745304</c:v>
                </c:pt>
                <c:pt idx="8">
                  <c:v>-75.215628172973908</c:v>
                </c:pt>
                <c:pt idx="9">
                  <c:v>-76.472069356041303</c:v>
                </c:pt>
                <c:pt idx="10">
                  <c:v>-77.629925677463461</c:v>
                </c:pt>
                <c:pt idx="11">
                  <c:v>-78.695465984662007</c:v>
                </c:pt>
                <c:pt idx="12">
                  <c:v>-79.675315797318405</c:v>
                </c:pt>
                <c:pt idx="13">
                  <c:v>-80.574577891468891</c:v>
                </c:pt>
                <c:pt idx="14">
                  <c:v>-81.399871335359336</c:v>
                </c:pt>
                <c:pt idx="15">
                  <c:v>-82.156504586957624</c:v>
                </c:pt>
                <c:pt idx="16">
                  <c:v>-82.849928811175488</c:v>
                </c:pt>
                <c:pt idx="17">
                  <c:v>-83.485145175234223</c:v>
                </c:pt>
                <c:pt idx="18">
                  <c:v>-84.0671184605593</c:v>
                </c:pt>
                <c:pt idx="19">
                  <c:v>-84.600161533483316</c:v>
                </c:pt>
                <c:pt idx="20">
                  <c:v>-85.088551400098595</c:v>
                </c:pt>
                <c:pt idx="21">
                  <c:v>-85.536063699728615</c:v>
                </c:pt>
                <c:pt idx="22">
                  <c:v>-85.946386972894672</c:v>
                </c:pt>
                <c:pt idx="23">
                  <c:v>-86.32274685506485</c:v>
                </c:pt>
                <c:pt idx="24">
                  <c:v>-86.668315755953316</c:v>
                </c:pt>
                <c:pt idx="25">
                  <c:v>-86.98587874212987</c:v>
                </c:pt>
                <c:pt idx="26">
                  <c:v>-87.278130376626848</c:v>
                </c:pt>
                <c:pt idx="27">
                  <c:v>-87.547402915798656</c:v>
                </c:pt>
                <c:pt idx="28">
                  <c:v>-87.795959281318659</c:v>
                </c:pt>
                <c:pt idx="29">
                  <c:v>-88.025745783736667</c:v>
                </c:pt>
                <c:pt idx="30">
                  <c:v>-88.239071035611161</c:v>
                </c:pt>
                <c:pt idx="31">
                  <c:v>-88.437413964276487</c:v>
                </c:pt>
                <c:pt idx="32">
                  <c:v>-88.622582168662007</c:v>
                </c:pt>
                <c:pt idx="33">
                  <c:v>-88.796006603961445</c:v>
                </c:pt>
                <c:pt idx="34">
                  <c:v>-88.959286074870036</c:v>
                </c:pt>
                <c:pt idx="35">
                  <c:v>-89.113704715696926</c:v>
                </c:pt>
                <c:pt idx="36">
                  <c:v>-89.260593469630223</c:v>
                </c:pt>
                <c:pt idx="37">
                  <c:v>-89.401267684556444</c:v>
                </c:pt>
                <c:pt idx="38">
                  <c:v>-89.53678006994194</c:v>
                </c:pt>
                <c:pt idx="39">
                  <c:v>-89.668383936337236</c:v>
                </c:pt>
                <c:pt idx="40">
                  <c:v>-89.7971359179286</c:v>
                </c:pt>
                <c:pt idx="41">
                  <c:v>-89.924129116279929</c:v>
                </c:pt>
                <c:pt idx="42">
                  <c:v>-90.050410097286004</c:v>
                </c:pt>
                <c:pt idx="43">
                  <c:v>-90.1770701529381</c:v>
                </c:pt>
                <c:pt idx="44">
                  <c:v>-90.305127607257631</c:v>
                </c:pt>
                <c:pt idx="45">
                  <c:v>-90.43566544842767</c:v>
                </c:pt>
                <c:pt idx="46">
                  <c:v>-90.569726049699796</c:v>
                </c:pt>
                <c:pt idx="47">
                  <c:v>-90.708425105563535</c:v>
                </c:pt>
                <c:pt idx="48">
                  <c:v>-90.852838170888134</c:v>
                </c:pt>
                <c:pt idx="49">
                  <c:v>-91.004139731490909</c:v>
                </c:pt>
                <c:pt idx="50">
                  <c:v>-91.163475930091877</c:v>
                </c:pt>
                <c:pt idx="51">
                  <c:v>-91.332087311575151</c:v>
                </c:pt>
                <c:pt idx="52">
                  <c:v>-91.511154228948214</c:v>
                </c:pt>
                <c:pt idx="53">
                  <c:v>-91.701941101309302</c:v>
                </c:pt>
                <c:pt idx="54">
                  <c:v>-91.905594860836032</c:v>
                </c:pt>
                <c:pt idx="55">
                  <c:v>-92.123754202823022</c:v>
                </c:pt>
                <c:pt idx="56">
                  <c:v>-92.357404570394223</c:v>
                </c:pt>
                <c:pt idx="57">
                  <c:v>-92.607942549032657</c:v>
                </c:pt>
                <c:pt idx="58">
                  <c:v>-92.876352547004259</c:v>
                </c:pt>
                <c:pt idx="59">
                  <c:v>-93.163885370153835</c:v>
                </c:pt>
                <c:pt idx="60">
                  <c:v>-93.471246689279056</c:v>
                </c:pt>
                <c:pt idx="61">
                  <c:v>-93.799080943038248</c:v>
                </c:pt>
                <c:pt idx="62">
                  <c:v>-94.147833249743641</c:v>
                </c:pt>
                <c:pt idx="63">
                  <c:v>-94.516969437308845</c:v>
                </c:pt>
                <c:pt idx="64">
                  <c:v>-94.906001519889202</c:v>
                </c:pt>
                <c:pt idx="65">
                  <c:v>-95.313303034909083</c:v>
                </c:pt>
                <c:pt idx="66">
                  <c:v>-95.73658879941361</c:v>
                </c:pt>
                <c:pt idx="67">
                  <c:v>-96.172540399149725</c:v>
                </c:pt>
                <c:pt idx="68">
                  <c:v>-96.617020635235406</c:v>
                </c:pt>
                <c:pt idx="69">
                  <c:v>-97.064634346871898</c:v>
                </c:pt>
                <c:pt idx="70">
                  <c:v>-97.509268899448443</c:v>
                </c:pt>
                <c:pt idx="71">
                  <c:v>-97.943913235199588</c:v>
                </c:pt>
                <c:pt idx="72">
                  <c:v>-98.361356452822079</c:v>
                </c:pt>
                <c:pt idx="73">
                  <c:v>-98.754278438882139</c:v>
                </c:pt>
                <c:pt idx="74">
                  <c:v>-99.1162158826031</c:v>
                </c:pt>
                <c:pt idx="75">
                  <c:v>-99.441818522262295</c:v>
                </c:pt>
                <c:pt idx="76">
                  <c:v>-99.727727802544479</c:v>
                </c:pt>
                <c:pt idx="77">
                  <c:v>-99.972770632341181</c:v>
                </c:pt>
                <c:pt idx="78">
                  <c:v>-100.17853271733564</c:v>
                </c:pt>
                <c:pt idx="79">
                  <c:v>-100.34918904691028</c:v>
                </c:pt>
                <c:pt idx="80">
                  <c:v>-100.49178881304952</c:v>
                </c:pt>
                <c:pt idx="81">
                  <c:v>-100.61500450440694</c:v>
                </c:pt>
                <c:pt idx="82">
                  <c:v>-100.72941668526784</c:v>
                </c:pt>
                <c:pt idx="83">
                  <c:v>-100.84643854200321</c:v>
                </c:pt>
                <c:pt idx="84">
                  <c:v>-100.97810524795571</c:v>
                </c:pt>
                <c:pt idx="85">
                  <c:v>-101.13626642264596</c:v>
                </c:pt>
                <c:pt idx="86">
                  <c:v>-101.33248814124815</c:v>
                </c:pt>
                <c:pt idx="87">
                  <c:v>-101.57788563611612</c:v>
                </c:pt>
                <c:pt idx="88">
                  <c:v>-101.88254587517186</c:v>
                </c:pt>
                <c:pt idx="89">
                  <c:v>-102.25638350407591</c:v>
                </c:pt>
                <c:pt idx="90">
                  <c:v>-102.70841931973277</c:v>
                </c:pt>
                <c:pt idx="91">
                  <c:v>-103.24741643859485</c:v>
                </c:pt>
                <c:pt idx="92">
                  <c:v>-103.88177310918336</c:v>
                </c:pt>
                <c:pt idx="93">
                  <c:v>-104.62010110184121</c:v>
                </c:pt>
                <c:pt idx="94">
                  <c:v>-104.82182380672207</c:v>
                </c:pt>
                <c:pt idx="95">
                  <c:v>-104.92600555572531</c:v>
                </c:pt>
                <c:pt idx="96">
                  <c:v>-105.0307909894357</c:v>
                </c:pt>
                <c:pt idx="97">
                  <c:v>-105.13861219436319</c:v>
                </c:pt>
                <c:pt idx="98">
                  <c:v>-105.24702914748249</c:v>
                </c:pt>
                <c:pt idx="99">
                  <c:v>-105.35858577777576</c:v>
                </c:pt>
                <c:pt idx="100">
                  <c:v>-105.4707300547305</c:v>
                </c:pt>
                <c:pt idx="101">
                  <c:v>-105.58603228690933</c:v>
                </c:pt>
                <c:pt idx="102">
                  <c:v>-105.7019130174757</c:v>
                </c:pt>
                <c:pt idx="103">
                  <c:v>-105.82114219318046</c:v>
                </c:pt>
                <c:pt idx="104">
                  <c:v>-105.9409414021343</c:v>
                </c:pt>
                <c:pt idx="105">
                  <c:v>-106.06410664914453</c:v>
                </c:pt>
                <c:pt idx="106">
                  <c:v>-106.18783242316701</c:v>
                </c:pt>
                <c:pt idx="107">
                  <c:v>-106.31493979514759</c:v>
                </c:pt>
                <c:pt idx="108">
                  <c:v>-106.4425972403252</c:v>
                </c:pt>
                <c:pt idx="109">
                  <c:v>-106.57373936494349</c:v>
                </c:pt>
                <c:pt idx="110">
                  <c:v>-106.70542097396638</c:v>
                </c:pt>
                <c:pt idx="111">
                  <c:v>-106.84078082855339</c:v>
                </c:pt>
                <c:pt idx="112">
                  <c:v>-106.97667010599062</c:v>
                </c:pt>
                <c:pt idx="113">
                  <c:v>-107.11625172843817</c:v>
                </c:pt>
                <c:pt idx="114">
                  <c:v>-107.25635177407082</c:v>
                </c:pt>
                <c:pt idx="115">
                  <c:v>-107.40024783503326</c:v>
                </c:pt>
                <c:pt idx="116">
                  <c:v>-107.54465110144602</c:v>
                </c:pt>
                <c:pt idx="117">
                  <c:v>-107.69295407330605</c:v>
                </c:pt>
                <c:pt idx="118">
                  <c:v>-107.84175278944231</c:v>
                </c:pt>
                <c:pt idx="119">
                  <c:v>-107.99446207602638</c:v>
                </c:pt>
                <c:pt idx="120">
                  <c:v>-108.14765480204488</c:v>
                </c:pt>
                <c:pt idx="121">
                  <c:v>-108.30486042578249</c:v>
                </c:pt>
                <c:pt idx="122">
                  <c:v>-108.46253696912807</c:v>
                </c:pt>
                <c:pt idx="123">
                  <c:v>-108.62442246072027</c:v>
                </c:pt>
                <c:pt idx="124">
                  <c:v>-108.78676663282101</c:v>
                </c:pt>
                <c:pt idx="125">
                  <c:v>-108.95332833677941</c:v>
                </c:pt>
                <c:pt idx="126">
                  <c:v>-109.12033565020393</c:v>
                </c:pt>
                <c:pt idx="127">
                  <c:v>-109.29166209437338</c:v>
                </c:pt>
                <c:pt idx="128">
                  <c:v>-109.46342078990433</c:v>
                </c:pt>
                <c:pt idx="129">
                  <c:v>-109.63959982421969</c:v>
                </c:pt>
                <c:pt idx="130">
                  <c:v>-109.81619744167314</c:v>
                </c:pt>
                <c:pt idx="131">
                  <c:v>-109.99731613874251</c:v>
                </c:pt>
                <c:pt idx="132">
                  <c:v>-110.0880282246622</c:v>
                </c:pt>
                <c:pt idx="133">
                  <c:v>-110.17883941812167</c:v>
                </c:pt>
                <c:pt idx="134">
                  <c:v>-110.2719099490897</c:v>
                </c:pt>
                <c:pt idx="135">
                  <c:v>-110.36508017783007</c:v>
                </c:pt>
                <c:pt idx="136">
                  <c:v>-110.45834805201031</c:v>
                </c:pt>
                <c:pt idx="137">
                  <c:v>-110.55171155904219</c:v>
                </c:pt>
                <c:pt idx="138">
                  <c:v>-110.64729163175409</c:v>
                </c:pt>
                <c:pt idx="139">
                  <c:v>-110.74296759434861</c:v>
                </c:pt>
                <c:pt idx="140">
                  <c:v>-110.83873741676722</c:v>
                </c:pt>
                <c:pt idx="141">
                  <c:v>-110.93459910831679</c:v>
                </c:pt>
                <c:pt idx="142">
                  <c:v>-111.0328271332136</c:v>
                </c:pt>
                <c:pt idx="143">
                  <c:v>-111.13114733628582</c:v>
                </c:pt>
                <c:pt idx="144">
                  <c:v>-111.22955770379662</c:v>
                </c:pt>
                <c:pt idx="145">
                  <c:v>-111.32805626112628</c:v>
                </c:pt>
                <c:pt idx="146">
                  <c:v>-111.42892570909771</c:v>
                </c:pt>
                <c:pt idx="147">
                  <c:v>-111.52988341894542</c:v>
                </c:pt>
                <c:pt idx="148">
                  <c:v>-111.63092739655387</c:v>
                </c:pt>
                <c:pt idx="149">
                  <c:v>-111.73205568657259</c:v>
                </c:pt>
                <c:pt idx="150">
                  <c:v>-111.83560746238722</c:v>
                </c:pt>
                <c:pt idx="151">
                  <c:v>-111.93924347369615</c:v>
                </c:pt>
                <c:pt idx="152">
                  <c:v>-112.04296174614298</c:v>
                </c:pt>
                <c:pt idx="153">
                  <c:v>-112.14676034375927</c:v>
                </c:pt>
                <c:pt idx="154">
                  <c:v>-112.25308361364755</c:v>
                </c:pt>
                <c:pt idx="155">
                  <c:v>-112.35948704996579</c:v>
                </c:pt>
                <c:pt idx="156">
                  <c:v>-112.46596869554253</c:v>
                </c:pt>
                <c:pt idx="157">
                  <c:v>-112.57252663126118</c:v>
                </c:pt>
                <c:pt idx="158">
                  <c:v>-112.68166134806614</c:v>
                </c:pt>
                <c:pt idx="159">
                  <c:v>-112.79087202681403</c:v>
                </c:pt>
                <c:pt idx="160">
                  <c:v>-112.90015672781107</c:v>
                </c:pt>
                <c:pt idx="161">
                  <c:v>-113.00951354906148</c:v>
                </c:pt>
                <c:pt idx="162">
                  <c:v>-113.12144965054398</c:v>
                </c:pt>
                <c:pt idx="163">
                  <c:v>-113.23345730707149</c:v>
                </c:pt>
                <c:pt idx="164">
                  <c:v>-113.345534599171</c:v>
                </c:pt>
                <c:pt idx="165">
                  <c:v>-113.45767964462121</c:v>
                </c:pt>
                <c:pt idx="166">
                  <c:v>-113.57255368154239</c:v>
                </c:pt>
                <c:pt idx="167">
                  <c:v>-113.6874948485402</c:v>
                </c:pt>
                <c:pt idx="168">
                  <c:v>-113.80250124146424</c:v>
                </c:pt>
                <c:pt idx="169">
                  <c:v>-113.9175709930776</c:v>
                </c:pt>
                <c:pt idx="170">
                  <c:v>-114.03517356142783</c:v>
                </c:pt>
                <c:pt idx="171">
                  <c:v>-114.15283841239254</c:v>
                </c:pt>
                <c:pt idx="172">
                  <c:v>-114.27056366922686</c:v>
                </c:pt>
                <c:pt idx="173">
                  <c:v>-114.38834749143024</c:v>
                </c:pt>
                <c:pt idx="174">
                  <c:v>-114.50915956279249</c:v>
                </c:pt>
                <c:pt idx="175">
                  <c:v>-114.63002938481637</c:v>
                </c:pt>
                <c:pt idx="176">
                  <c:v>-114.75095508694096</c:v>
                </c:pt>
                <c:pt idx="177">
                  <c:v>-114.87193483471091</c:v>
                </c:pt>
                <c:pt idx="178">
                  <c:v>-114.99594366852776</c:v>
                </c:pt>
                <c:pt idx="179">
                  <c:v>-115.12000545198573</c:v>
                </c:pt>
                <c:pt idx="180">
                  <c:v>-115.2441183239311</c:v>
                </c:pt>
                <c:pt idx="181">
                  <c:v>-115.3682804590773</c:v>
                </c:pt>
                <c:pt idx="182">
                  <c:v>-115.49497473135176</c:v>
                </c:pt>
                <c:pt idx="183">
                  <c:v>-115.62171653109053</c:v>
                </c:pt>
                <c:pt idx="184">
                  <c:v>-115.74850403078821</c:v>
                </c:pt>
                <c:pt idx="185">
                  <c:v>-115.87533543793514</c:v>
                </c:pt>
                <c:pt idx="186">
                  <c:v>-116.00569237550604</c:v>
                </c:pt>
                <c:pt idx="187">
                  <c:v>-116.13609193740912</c:v>
                </c:pt>
                <c:pt idx="188">
                  <c:v>-116.26653228902468</c:v>
                </c:pt>
                <c:pt idx="189">
                  <c:v>-116.39701163088107</c:v>
                </c:pt>
                <c:pt idx="190">
                  <c:v>-116.53001932252353</c:v>
                </c:pt>
                <c:pt idx="191">
                  <c:v>-116.66306384107546</c:v>
                </c:pt>
                <c:pt idx="192">
                  <c:v>-116.79614338902491</c:v>
                </c:pt>
                <c:pt idx="193">
                  <c:v>-116.92925620302587</c:v>
                </c:pt>
                <c:pt idx="194">
                  <c:v>-117.06589163760394</c:v>
                </c:pt>
                <c:pt idx="195">
                  <c:v>-117.20255844937179</c:v>
                </c:pt>
                <c:pt idx="196">
                  <c:v>-117.33925483917699</c:v>
                </c:pt>
                <c:pt idx="197">
                  <c:v>-117.47597904201935</c:v>
                </c:pt>
                <c:pt idx="198">
                  <c:v>-117.61572413689048</c:v>
                </c:pt>
                <c:pt idx="199">
                  <c:v>-117.75549465494385</c:v>
                </c:pt>
                <c:pt idx="200">
                  <c:v>-117.89528881762084</c:v>
                </c:pt>
                <c:pt idx="201">
                  <c:v>-118.03510487993275</c:v>
                </c:pt>
                <c:pt idx="202">
                  <c:v>-118.17793782914913</c:v>
                </c:pt>
                <c:pt idx="203">
                  <c:v>-118.32079004989444</c:v>
                </c:pt>
                <c:pt idx="204">
                  <c:v>-118.4636597855875</c:v>
                </c:pt>
                <c:pt idx="205">
                  <c:v>-118.60654531259409</c:v>
                </c:pt>
                <c:pt idx="206">
                  <c:v>-118.75294264536646</c:v>
                </c:pt>
                <c:pt idx="207">
                  <c:v>-118.89935299197134</c:v>
                </c:pt>
                <c:pt idx="208">
                  <c:v>-119.04577460126157</c:v>
                </c:pt>
                <c:pt idx="209">
                  <c:v>-119.19220575482099</c:v>
                </c:pt>
                <c:pt idx="210">
                  <c:v>-119.34264319535663</c:v>
                </c:pt>
                <c:pt idx="211">
                  <c:v>-119.49308713444407</c:v>
                </c:pt>
                <c:pt idx="212">
                  <c:v>-119.64353581152128</c:v>
                </c:pt>
                <c:pt idx="213">
                  <c:v>-119.79398749890666</c:v>
                </c:pt>
                <c:pt idx="214">
                  <c:v>-119.94743956604647</c:v>
                </c:pt>
                <c:pt idx="215">
                  <c:v>-120.1008912352909</c:v>
                </c:pt>
                <c:pt idx="216">
                  <c:v>-120.2543407739674</c:v>
                </c:pt>
                <c:pt idx="217">
                  <c:v>-120.40778648150631</c:v>
                </c:pt>
                <c:pt idx="218">
                  <c:v>-120.56472524819287</c:v>
                </c:pt>
                <c:pt idx="219">
                  <c:v>-120.72165650781186</c:v>
                </c:pt>
                <c:pt idx="220">
                  <c:v>-120.87857853982004</c:v>
                </c:pt>
                <c:pt idx="221">
                  <c:v>-121.03548965539096</c:v>
                </c:pt>
                <c:pt idx="222">
                  <c:v>-121.19588577895445</c:v>
                </c:pt>
                <c:pt idx="223">
                  <c:v>-121.35626702269029</c:v>
                </c:pt>
                <c:pt idx="224">
                  <c:v>-121.51663167998204</c:v>
                </c:pt>
                <c:pt idx="225">
                  <c:v>-121.67697807550549</c:v>
                </c:pt>
                <c:pt idx="226">
                  <c:v>-121.84129997196172</c:v>
                </c:pt>
                <c:pt idx="227">
                  <c:v>-122.005599218924</c:v>
                </c:pt>
                <c:pt idx="228">
                  <c:v>-122.16987410994989</c:v>
                </c:pt>
                <c:pt idx="229">
                  <c:v>-122.33412296980637</c:v>
                </c:pt>
                <c:pt idx="230">
                  <c:v>-122.67052028795484</c:v>
                </c:pt>
                <c:pt idx="231">
                  <c:v>-122.83867108307412</c:v>
                </c:pt>
                <c:pt idx="232">
                  <c:v>-123.0067877285265</c:v>
                </c:pt>
                <c:pt idx="233">
                  <c:v>-123.1788581838597</c:v>
                </c:pt>
                <c:pt idx="234">
                  <c:v>-123.35088939810456</c:v>
                </c:pt>
                <c:pt idx="235">
                  <c:v>-123.52287967306863</c:v>
                </c:pt>
                <c:pt idx="236">
                  <c:v>-123.69482734144572</c:v>
                </c:pt>
                <c:pt idx="237">
                  <c:v>-123.87021819242014</c:v>
                </c:pt>
                <c:pt idx="238">
                  <c:v>-124.04556127879621</c:v>
                </c:pt>
                <c:pt idx="239">
                  <c:v>-124.22085492432336</c:v>
                </c:pt>
                <c:pt idx="240">
                  <c:v>-124.39609748307257</c:v>
                </c:pt>
                <c:pt idx="241">
                  <c:v>-124.57576591968203</c:v>
                </c:pt>
                <c:pt idx="242">
                  <c:v>-124.75537721182613</c:v>
                </c:pt>
                <c:pt idx="243">
                  <c:v>-124.93492967869641</c:v>
                </c:pt>
                <c:pt idx="244">
                  <c:v>-125.11442166990091</c:v>
                </c:pt>
                <c:pt idx="245">
                  <c:v>-125.29782713499124</c:v>
                </c:pt>
                <c:pt idx="246">
                  <c:v>-125.48116602156222</c:v>
                </c:pt>
                <c:pt idx="247">
                  <c:v>-125.66443666091679</c:v>
                </c:pt>
                <c:pt idx="248">
                  <c:v>-125.8476374144948</c:v>
                </c:pt>
                <c:pt idx="249">
                  <c:v>-126.03523233390932</c:v>
                </c:pt>
                <c:pt idx="250">
                  <c:v>-126.22275052992998</c:v>
                </c:pt>
                <c:pt idx="251">
                  <c:v>-126.41019033492556</c:v>
                </c:pt>
                <c:pt idx="252">
                  <c:v>-126.59755011142066</c:v>
                </c:pt>
                <c:pt idx="253">
                  <c:v>-126.78879091619919</c:v>
                </c:pt>
                <c:pt idx="254">
                  <c:v>-126.97994491112925</c:v>
                </c:pt>
                <c:pt idx="255">
                  <c:v>-127.17101044540688</c:v>
                </c:pt>
                <c:pt idx="256">
                  <c:v>-127.36198589806182</c:v>
                </c:pt>
                <c:pt idx="257">
                  <c:v>-127.55781362056152</c:v>
                </c:pt>
                <c:pt idx="258">
                  <c:v>-127.75354317066312</c:v>
                </c:pt>
                <c:pt idx="259">
                  <c:v>-127.94917289154505</c:v>
                </c:pt>
                <c:pt idx="260">
                  <c:v>-128.14470115649095</c:v>
                </c:pt>
                <c:pt idx="261">
                  <c:v>-128.34456664026655</c:v>
                </c:pt>
                <c:pt idx="262">
                  <c:v>-128.54432265585427</c:v>
                </c:pt>
                <c:pt idx="263">
                  <c:v>-128.74396755639128</c:v>
                </c:pt>
                <c:pt idx="264">
                  <c:v>-128.94349972505407</c:v>
                </c:pt>
                <c:pt idx="265">
                  <c:v>-129.14734777171847</c:v>
                </c:pt>
                <c:pt idx="266">
                  <c:v>-129.3510746971927</c:v>
                </c:pt>
                <c:pt idx="267">
                  <c:v>-129.55467886746376</c:v>
                </c:pt>
                <c:pt idx="268">
                  <c:v>-129.75815867847896</c:v>
                </c:pt>
                <c:pt idx="269">
                  <c:v>-129.96642291423862</c:v>
                </c:pt>
                <c:pt idx="270">
                  <c:v>-130.1745533983671</c:v>
                </c:pt>
                <c:pt idx="271">
                  <c:v>-130.38254850119387</c:v>
                </c:pt>
                <c:pt idx="272">
                  <c:v>-130.59040662319921</c:v>
                </c:pt>
                <c:pt idx="273">
                  <c:v>-130.80302355585417</c:v>
                </c:pt>
                <c:pt idx="274">
                  <c:v>-131.01549367285128</c:v>
                </c:pt>
                <c:pt idx="275">
                  <c:v>-131.22781535273307</c:v>
                </c:pt>
                <c:pt idx="276">
                  <c:v>-131.43998700436046</c:v>
                </c:pt>
                <c:pt idx="277">
                  <c:v>-131.65640218030649</c:v>
                </c:pt>
                <c:pt idx="278">
                  <c:v>-131.87265778487256</c:v>
                </c:pt>
                <c:pt idx="279">
                  <c:v>-132.08875221946903</c:v>
                </c:pt>
                <c:pt idx="280">
                  <c:v>-132.30468391570318</c:v>
                </c:pt>
                <c:pt idx="281">
                  <c:v>-132.52629375088546</c:v>
                </c:pt>
                <c:pt idx="282">
                  <c:v>-132.74772865306781</c:v>
                </c:pt>
                <c:pt idx="283">
                  <c:v>-132.96898701827064</c:v>
                </c:pt>
                <c:pt idx="284">
                  <c:v>-133.19006727339212</c:v>
                </c:pt>
                <c:pt idx="285">
                  <c:v>-133.41533551577274</c:v>
                </c:pt>
                <c:pt idx="286">
                  <c:v>-133.64041532334602</c:v>
                </c:pt>
                <c:pt idx="287">
                  <c:v>-133.8653051229586</c:v>
                </c:pt>
                <c:pt idx="288">
                  <c:v>-134.09000337218583</c:v>
                </c:pt>
                <c:pt idx="289">
                  <c:v>-134.32031215291536</c:v>
                </c:pt>
                <c:pt idx="290">
                  <c:v>-134.55041615548873</c:v>
                </c:pt>
                <c:pt idx="291">
                  <c:v>-134.78031381145865</c:v>
                </c:pt>
                <c:pt idx="292">
                  <c:v>-135.01000358374415</c:v>
                </c:pt>
                <c:pt idx="293">
                  <c:v>-135.24478459692008</c:v>
                </c:pt>
                <c:pt idx="294">
                  <c:v>-135.47934485011129</c:v>
                </c:pt>
                <c:pt idx="295">
                  <c:v>-135.71368279510438</c:v>
                </c:pt>
                <c:pt idx="296">
                  <c:v>-135.9477969154018</c:v>
                </c:pt>
                <c:pt idx="297">
                  <c:v>-136.18696602164002</c:v>
                </c:pt>
                <c:pt idx="298">
                  <c:v>-136.42589796928578</c:v>
                </c:pt>
                <c:pt idx="299">
                  <c:v>-136.6645912356397</c:v>
                </c:pt>
                <c:pt idx="300">
                  <c:v>-136.90304433005116</c:v>
                </c:pt>
                <c:pt idx="301">
                  <c:v>-137.14651475380023</c:v>
                </c:pt>
                <c:pt idx="302">
                  <c:v>-137.3897312293573</c:v>
                </c:pt>
                <c:pt idx="303">
                  <c:v>-137.63269226493048</c:v>
                </c:pt>
                <c:pt idx="304">
                  <c:v>-137.87539640109421</c:v>
                </c:pt>
                <c:pt idx="305">
                  <c:v>-138.12403094728379</c:v>
                </c:pt>
                <c:pt idx="306">
                  <c:v>-138.37239229668444</c:v>
                </c:pt>
                <c:pt idx="307">
                  <c:v>-138.62047897725341</c:v>
                </c:pt>
                <c:pt idx="308">
                  <c:v>-138.86828955011714</c:v>
                </c:pt>
                <c:pt idx="309">
                  <c:v>-139.12103582720286</c:v>
                </c:pt>
                <c:pt idx="310">
                  <c:v>-139.37349130839397</c:v>
                </c:pt>
                <c:pt idx="311">
                  <c:v>-139.62565456500829</c:v>
                </c:pt>
                <c:pt idx="312">
                  <c:v>-139.87752420180348</c:v>
                </c:pt>
                <c:pt idx="313">
                  <c:v>-140.13523112718269</c:v>
                </c:pt>
                <c:pt idx="314">
                  <c:v>-140.39262707610354</c:v>
                </c:pt>
                <c:pt idx="315">
                  <c:v>-140.64971065389042</c:v>
                </c:pt>
                <c:pt idx="316">
                  <c:v>-140.90648050005473</c:v>
                </c:pt>
                <c:pt idx="317">
                  <c:v>-141.1690375033393</c:v>
                </c:pt>
                <c:pt idx="318">
                  <c:v>-141.43126287862245</c:v>
                </c:pt>
                <c:pt idx="319">
                  <c:v>-141.69315527324864</c:v>
                </c:pt>
                <c:pt idx="320">
                  <c:v>-141.95471336945826</c:v>
                </c:pt>
                <c:pt idx="321">
                  <c:v>-142.22200682299467</c:v>
                </c:pt>
                <c:pt idx="322">
                  <c:v>-142.48894756613157</c:v>
                </c:pt>
                <c:pt idx="323">
                  <c:v>-142.75553429641624</c:v>
                </c:pt>
                <c:pt idx="324">
                  <c:v>-143.02176574696128</c:v>
                </c:pt>
                <c:pt idx="325">
                  <c:v>-143.29367914525898</c:v>
                </c:pt>
                <c:pt idx="326">
                  <c:v>-143.56521836199244</c:v>
                </c:pt>
                <c:pt idx="327">
                  <c:v>-143.83638215323774</c:v>
                </c:pt>
                <c:pt idx="328">
                  <c:v>-144.10716931125936</c:v>
                </c:pt>
                <c:pt idx="329">
                  <c:v>-144.38404536039096</c:v>
                </c:pt>
                <c:pt idx="330">
                  <c:v>-144.6605240844199</c:v>
                </c:pt>
                <c:pt idx="331">
                  <c:v>-144.93660430056624</c:v>
                </c:pt>
                <c:pt idx="332">
                  <c:v>-145.21228486305597</c:v>
                </c:pt>
                <c:pt idx="333">
                  <c:v>-145.49353456405166</c:v>
                </c:pt>
                <c:pt idx="334">
                  <c:v>-145.77436477318139</c:v>
                </c:pt>
                <c:pt idx="335">
                  <c:v>-146.05477438388559</c:v>
                </c:pt>
                <c:pt idx="336">
                  <c:v>-146.33476232712073</c:v>
                </c:pt>
                <c:pt idx="337">
                  <c:v>-146.62117434437181</c:v>
                </c:pt>
                <c:pt idx="338">
                  <c:v>-146.907141617029</c:v>
                </c:pt>
                <c:pt idx="339">
                  <c:v>-147.19266311365982</c:v>
                </c:pt>
                <c:pt idx="340">
                  <c:v>-147.47773784127625</c:v>
                </c:pt>
                <c:pt idx="341">
                  <c:v>-147.76916861176264</c:v>
                </c:pt>
                <c:pt idx="342">
                  <c:v>-148.06012899453015</c:v>
                </c:pt>
                <c:pt idx="343">
                  <c:v>-148.35061804442373</c:v>
                </c:pt>
                <c:pt idx="344">
                  <c:v>-148.64063485557764</c:v>
                </c:pt>
                <c:pt idx="345">
                  <c:v>-148.93648732062348</c:v>
                </c:pt>
                <c:pt idx="346">
                  <c:v>-149.23184493647287</c:v>
                </c:pt>
                <c:pt idx="347">
                  <c:v>-149.52670685923744</c:v>
                </c:pt>
                <c:pt idx="348">
                  <c:v>-149.82107228482388</c:v>
                </c:pt>
                <c:pt idx="349">
                  <c:v>-150.12210174610308</c:v>
                </c:pt>
                <c:pt idx="350">
                  <c:v>-150.42260861218389</c:v>
                </c:pt>
                <c:pt idx="351">
                  <c:v>-150.72259214386287</c:v>
                </c:pt>
                <c:pt idx="352">
                  <c:v>-151.02205164261713</c:v>
                </c:pt>
                <c:pt idx="353">
                  <c:v>-151.32809754503947</c:v>
                </c:pt>
                <c:pt idx="354">
                  <c:v>-151.63359280912567</c:v>
                </c:pt>
                <c:pt idx="355">
                  <c:v>-151.93853681289002</c:v>
                </c:pt>
                <c:pt idx="356">
                  <c:v>-152.24292897578769</c:v>
                </c:pt>
                <c:pt idx="357">
                  <c:v>-152.55338701508353</c:v>
                </c:pt>
                <c:pt idx="358">
                  <c:v>-152.86326779187647</c:v>
                </c:pt>
                <c:pt idx="359">
                  <c:v>-153.17257081585123</c:v>
                </c:pt>
                <c:pt idx="360">
                  <c:v>-153.48129563851847</c:v>
                </c:pt>
                <c:pt idx="361">
                  <c:v>-153.79688629951579</c:v>
                </c:pt>
                <c:pt idx="362">
                  <c:v>-154.11186963561394</c:v>
                </c:pt>
                <c:pt idx="363">
                  <c:v>-154.42624529618942</c:v>
                </c:pt>
                <c:pt idx="364">
                  <c:v>-154.74001297315567</c:v>
                </c:pt>
                <c:pt idx="365">
                  <c:v>-155.06012458818026</c:v>
                </c:pt>
                <c:pt idx="366">
                  <c:v>-155.37960037925211</c:v>
                </c:pt>
                <c:pt idx="367">
                  <c:v>-155.69844014968891</c:v>
                </c:pt>
                <c:pt idx="368">
                  <c:v>-156.01664374565166</c:v>
                </c:pt>
                <c:pt idx="369">
                  <c:v>-156.34196967544284</c:v>
                </c:pt>
                <c:pt idx="370">
                  <c:v>-156.66662774026861</c:v>
                </c:pt>
                <c:pt idx="371">
                  <c:v>-156.99061790895445</c:v>
                </c:pt>
                <c:pt idx="372">
                  <c:v>-157.31394019375489</c:v>
                </c:pt>
                <c:pt idx="373">
                  <c:v>-157.64386165437801</c:v>
                </c:pt>
                <c:pt idx="374">
                  <c:v>-157.97308493582653</c:v>
                </c:pt>
                <c:pt idx="375">
                  <c:v>-158.30161018620112</c:v>
                </c:pt>
                <c:pt idx="376">
                  <c:v>-158.62943759717984</c:v>
                </c:pt>
                <c:pt idx="377">
                  <c:v>-158.96462016247122</c:v>
                </c:pt>
                <c:pt idx="378">
                  <c:v>-159.29907061407999</c:v>
                </c:pt>
                <c:pt idx="379">
                  <c:v>-159.6327892944407</c:v>
                </c:pt>
                <c:pt idx="380">
                  <c:v>-159.96577658993769</c:v>
                </c:pt>
                <c:pt idx="381">
                  <c:v>-160.30517471935809</c:v>
                </c:pt>
                <c:pt idx="382">
                  <c:v>-160.64381059900143</c:v>
                </c:pt>
                <c:pt idx="383">
                  <c:v>-160.98168477644705</c:v>
                </c:pt>
                <c:pt idx="384">
                  <c:v>-161.31879784291357</c:v>
                </c:pt>
                <c:pt idx="385">
                  <c:v>-161.66347665671233</c:v>
                </c:pt>
                <c:pt idx="386">
                  <c:v>-162.00735755991644</c:v>
                </c:pt>
                <c:pt idx="387">
                  <c:v>-162.35044132481096</c:v>
                </c:pt>
                <c:pt idx="388">
                  <c:v>-162.6927287673978</c:v>
                </c:pt>
                <c:pt idx="389">
                  <c:v>-163.04205704973222</c:v>
                </c:pt>
                <c:pt idx="390">
                  <c:v>-163.39055386202975</c:v>
                </c:pt>
                <c:pt idx="391">
                  <c:v>-163.73822021295828</c:v>
                </c:pt>
                <c:pt idx="392">
                  <c:v>-164.08505715448044</c:v>
                </c:pt>
                <c:pt idx="393">
                  <c:v>-164.43882715846536</c:v>
                </c:pt>
                <c:pt idx="394">
                  <c:v>-164.79173243788125</c:v>
                </c:pt>
                <c:pt idx="395">
                  <c:v>-165.14377425043642</c:v>
                </c:pt>
                <c:pt idx="396">
                  <c:v>-165.49495389642038</c:v>
                </c:pt>
                <c:pt idx="397">
                  <c:v>-165.85376687607049</c:v>
                </c:pt>
                <c:pt idx="398">
                  <c:v>-166.21167821210508</c:v>
                </c:pt>
                <c:pt idx="399">
                  <c:v>-166.56868943336912</c:v>
                </c:pt>
                <c:pt idx="400">
                  <c:v>-166.92480211065057</c:v>
                </c:pt>
                <c:pt idx="401">
                  <c:v>-167.28802593046592</c:v>
                </c:pt>
                <c:pt idx="402">
                  <c:v>-167.6503136333709</c:v>
                </c:pt>
                <c:pt idx="403">
                  <c:v>-168.01166702735964</c:v>
                </c:pt>
                <c:pt idx="404">
                  <c:v>-168.37208796120632</c:v>
                </c:pt>
                <c:pt idx="405">
                  <c:v>-168.73989986189028</c:v>
                </c:pt>
                <c:pt idx="406">
                  <c:v>-169.106739616147</c:v>
                </c:pt>
                <c:pt idx="407">
                  <c:v>-169.47260932898436</c:v>
                </c:pt>
                <c:pt idx="408">
                  <c:v>-169.83751114486623</c:v>
                </c:pt>
                <c:pt idx="409">
                  <c:v>-170.2100726359551</c:v>
                </c:pt>
                <c:pt idx="410">
                  <c:v>-170.58162441331905</c:v>
                </c:pt>
                <c:pt idx="411">
                  <c:v>-170.95216889811664</c:v>
                </c:pt>
                <c:pt idx="412">
                  <c:v>-171.32170854944025</c:v>
                </c:pt>
                <c:pt idx="413">
                  <c:v>-171.69877753713226</c:v>
                </c:pt>
                <c:pt idx="414">
                  <c:v>-172.07479988724566</c:v>
                </c:pt>
                <c:pt idx="415">
                  <c:v>-172.44977834884213</c:v>
                </c:pt>
                <c:pt idx="416">
                  <c:v>-172.82371570701466</c:v>
                </c:pt>
                <c:pt idx="417">
                  <c:v>-173.20543504749477</c:v>
                </c:pt>
                <c:pt idx="418">
                  <c:v>-173.5860693956709</c:v>
                </c:pt>
                <c:pt idx="419">
                  <c:v>-173.96562184802963</c:v>
                </c:pt>
                <c:pt idx="420">
                  <c:v>-174.34409553494356</c:v>
                </c:pt>
                <c:pt idx="421">
                  <c:v>-174.72983435222631</c:v>
                </c:pt>
                <c:pt idx="422">
                  <c:v>-175.11445283928916</c:v>
                </c:pt>
                <c:pt idx="423">
                  <c:v>-175.4979544400378</c:v>
                </c:pt>
                <c:pt idx="424">
                  <c:v>-175.88034262959877</c:v>
                </c:pt>
                <c:pt idx="425">
                  <c:v>-176.27098879912793</c:v>
                </c:pt>
                <c:pt idx="426">
                  <c:v>-176.66047357035259</c:v>
                </c:pt>
                <c:pt idx="427">
                  <c:v>-177.04880077439256</c:v>
                </c:pt>
                <c:pt idx="428">
                  <c:v>-177.43597427089128</c:v>
                </c:pt>
                <c:pt idx="429">
                  <c:v>-177.83088409897454</c:v>
                </c:pt>
                <c:pt idx="430">
                  <c:v>-178.22459466729441</c:v>
                </c:pt>
                <c:pt idx="431">
                  <c:v>-178.61711019232177</c:v>
                </c:pt>
                <c:pt idx="432">
                  <c:v>-179.00843491582165</c:v>
                </c:pt>
                <c:pt idx="433">
                  <c:v>-179.407351312494</c:v>
                </c:pt>
                <c:pt idx="434">
                  <c:v>-179.80503167805242</c:v>
                </c:pt>
                <c:pt idx="435">
                  <c:v>-180.20148062053642</c:v>
                </c:pt>
                <c:pt idx="436">
                  <c:v>-180.59670276966517</c:v>
                </c:pt>
                <c:pt idx="437">
                  <c:v>-181.00009467152569</c:v>
                </c:pt>
                <c:pt idx="438">
                  <c:v>-181.40221038741194</c:v>
                </c:pt>
                <c:pt idx="439">
                  <c:v>-181.80305494818691</c:v>
                </c:pt>
                <c:pt idx="440">
                  <c:v>-182.20263340254346</c:v>
                </c:pt>
                <c:pt idx="441">
                  <c:v>-182.61022392992646</c:v>
                </c:pt>
                <c:pt idx="442">
                  <c:v>-183.0164993635544</c:v>
                </c:pt>
                <c:pt idx="443">
                  <c:v>-183.42146516251526</c:v>
                </c:pt>
                <c:pt idx="444">
                  <c:v>-183.82512679947081</c:v>
                </c:pt>
                <c:pt idx="445">
                  <c:v>-184.23664332515372</c:v>
                </c:pt>
                <c:pt idx="446">
                  <c:v>-184.64680719346708</c:v>
                </c:pt>
                <c:pt idx="447">
                  <c:v>-185.05562429486034</c:v>
                </c:pt>
                <c:pt idx="448">
                  <c:v>-185.46310052872681</c:v>
                </c:pt>
                <c:pt idx="449">
                  <c:v>-185.87897005820778</c:v>
                </c:pt>
                <c:pt idx="450">
                  <c:v>-186.29344614802227</c:v>
                </c:pt>
                <c:pt idx="451">
                  <c:v>-186.70653515275023</c:v>
                </c:pt>
                <c:pt idx="452">
                  <c:v>-187.11824343097095</c:v>
                </c:pt>
                <c:pt idx="453">
                  <c:v>-187.53783265916067</c:v>
                </c:pt>
                <c:pt idx="454">
                  <c:v>-187.9559915189067</c:v>
                </c:pt>
                <c:pt idx="455">
                  <c:v>-188.37272681390917</c:v>
                </c:pt>
                <c:pt idx="456">
                  <c:v>-188.78804534655646</c:v>
                </c:pt>
                <c:pt idx="457">
                  <c:v>-189.21175955241978</c:v>
                </c:pt>
                <c:pt idx="458">
                  <c:v>-189.63400337151171</c:v>
                </c:pt>
                <c:pt idx="459">
                  <c:v>-190.05478408940164</c:v>
                </c:pt>
                <c:pt idx="460">
                  <c:v>-190.47410898469789</c:v>
                </c:pt>
                <c:pt idx="461">
                  <c:v>-190.90165518845905</c:v>
                </c:pt>
                <c:pt idx="462">
                  <c:v>-191.32769267999547</c:v>
                </c:pt>
                <c:pt idx="463">
                  <c:v>-191.75222922518435</c:v>
                </c:pt>
                <c:pt idx="464">
                  <c:v>-192.17527257697</c:v>
                </c:pt>
                <c:pt idx="465">
                  <c:v>-192.60669298421442</c:v>
                </c:pt>
                <c:pt idx="466">
                  <c:v>-193.03656576929978</c:v>
                </c:pt>
                <c:pt idx="467">
                  <c:v>-193.46489919336261</c:v>
                </c:pt>
                <c:pt idx="468">
                  <c:v>-193.89170149830508</c:v>
                </c:pt>
                <c:pt idx="469">
                  <c:v>-194.32670235642846</c:v>
                </c:pt>
                <c:pt idx="470">
                  <c:v>-194.76011854329678</c:v>
                </c:pt>
                <c:pt idx="471">
                  <c:v>-195.19195881037325</c:v>
                </c:pt>
                <c:pt idx="472">
                  <c:v>-195.6222318833301</c:v>
                </c:pt>
                <c:pt idx="473">
                  <c:v>-196.06116543932993</c:v>
                </c:pt>
                <c:pt idx="474">
                  <c:v>-196.49847448226782</c:v>
                </c:pt>
                <c:pt idx="475">
                  <c:v>-196.9341682871713</c:v>
                </c:pt>
                <c:pt idx="476">
                  <c:v>-197.3682560963299</c:v>
                </c:pt>
                <c:pt idx="477">
                  <c:v>-197.81081539063732</c:v>
                </c:pt>
                <c:pt idx="478">
                  <c:v>-198.25171237377666</c:v>
                </c:pt>
                <c:pt idx="479">
                  <c:v>-198.69095683725837</c:v>
                </c:pt>
                <c:pt idx="480">
                  <c:v>-199.12855853269053</c:v>
                </c:pt>
                <c:pt idx="481">
                  <c:v>-199.5744448196057</c:v>
                </c:pt>
                <c:pt idx="482">
                  <c:v>-200.01863310447308</c:v>
                </c:pt>
                <c:pt idx="483">
                  <c:v>-200.4611336859208</c:v>
                </c:pt>
                <c:pt idx="484">
                  <c:v>-200.9019568153565</c:v>
                </c:pt>
                <c:pt idx="485">
                  <c:v>-201.351185201774</c:v>
                </c:pt>
                <c:pt idx="486">
                  <c:v>-201.79867970091391</c:v>
                </c:pt>
                <c:pt idx="487">
                  <c:v>-202.24445112909936</c:v>
                </c:pt>
                <c:pt idx="488">
                  <c:v>-202.68851024787443</c:v>
                </c:pt>
                <c:pt idx="489">
                  <c:v>-203.14138658867844</c:v>
                </c:pt>
                <c:pt idx="490">
                  <c:v>-203.59249070502457</c:v>
                </c:pt>
                <c:pt idx="491">
                  <c:v>-204.04183396363806</c:v>
                </c:pt>
                <c:pt idx="492">
                  <c:v>-204.48942766850689</c:v>
                </c:pt>
                <c:pt idx="493">
                  <c:v>-204.94563807731072</c:v>
                </c:pt>
                <c:pt idx="494">
                  <c:v>-205.40004030074465</c:v>
                </c:pt>
                <c:pt idx="495">
                  <c:v>-205.8526462432834</c:v>
                </c:pt>
                <c:pt idx="496">
                  <c:v>-206.30346773863275</c:v>
                </c:pt>
                <c:pt idx="497">
                  <c:v>-206.76299949148299</c:v>
                </c:pt>
                <c:pt idx="498">
                  <c:v>-207.22068718676809</c:v>
                </c:pt>
                <c:pt idx="499">
                  <c:v>-207.6765432757046</c:v>
                </c:pt>
                <c:pt idx="500">
                  <c:v>-208.13058013050275</c:v>
                </c:pt>
                <c:pt idx="501">
                  <c:v>-208.59341223418113</c:v>
                </c:pt>
                <c:pt idx="502">
                  <c:v>-209.05436459529216</c:v>
                </c:pt>
                <c:pt idx="503">
                  <c:v>-209.51345022020806</c:v>
                </c:pt>
                <c:pt idx="504">
                  <c:v>-209.97068202786497</c:v>
                </c:pt>
                <c:pt idx="505">
                  <c:v>-210.43650385672112</c:v>
                </c:pt>
                <c:pt idx="506">
                  <c:v>-210.90041285836693</c:v>
                </c:pt>
                <c:pt idx="507">
                  <c:v>-211.36242257757351</c:v>
                </c:pt>
                <c:pt idx="508">
                  <c:v>-211.82254646330466</c:v>
                </c:pt>
                <c:pt idx="509">
                  <c:v>-212.29133597100179</c:v>
                </c:pt>
                <c:pt idx="510">
                  <c:v>-212.75817989814377</c:v>
                </c:pt>
                <c:pt idx="511">
                  <c:v>-213.22309233450244</c:v>
                </c:pt>
                <c:pt idx="512">
                  <c:v>-213.68608726554442</c:v>
                </c:pt>
                <c:pt idx="513">
                  <c:v>-214.15808839350785</c:v>
                </c:pt>
                <c:pt idx="514">
                  <c:v>-214.62810933411663</c:v>
                </c:pt>
                <c:pt idx="515">
                  <c:v>-215.0961647536044</c:v>
                </c:pt>
                <c:pt idx="516">
                  <c:v>-215.56226920503119</c:v>
                </c:pt>
                <c:pt idx="517">
                  <c:v>-216.03716514692525</c:v>
                </c:pt>
                <c:pt idx="518">
                  <c:v>-216.51004916127087</c:v>
                </c:pt>
                <c:pt idx="519">
                  <c:v>-216.98093647107993</c:v>
                </c:pt>
                <c:pt idx="520">
                  <c:v>-217.44984217748012</c:v>
                </c:pt>
                <c:pt idx="521">
                  <c:v>-217.92759250072854</c:v>
                </c:pt>
                <c:pt idx="522">
                  <c:v>-218.40329979362352</c:v>
                </c:pt>
                <c:pt idx="523">
                  <c:v>-218.87697984100419</c:v>
                </c:pt>
                <c:pt idx="524">
                  <c:v>-219.34864829704298</c:v>
                </c:pt>
                <c:pt idx="525">
                  <c:v>-219.82920761788256</c:v>
                </c:pt>
                <c:pt idx="526">
                  <c:v>-220.30769354810261</c:v>
                </c:pt>
                <c:pt idx="527">
                  <c:v>-220.78412243893794</c:v>
                </c:pt>
                <c:pt idx="528">
                  <c:v>-221.25851050212466</c:v>
                </c:pt>
                <c:pt idx="529">
                  <c:v>-221.74182911639491</c:v>
                </c:pt>
                <c:pt idx="530">
                  <c:v>-222.22304482939236</c:v>
                </c:pt>
                <c:pt idx="531">
                  <c:v>-222.70217456286167</c:v>
                </c:pt>
                <c:pt idx="532">
                  <c:v>-223.17923509018442</c:v>
                </c:pt>
                <c:pt idx="533">
                  <c:v>-223.66550998600604</c:v>
                </c:pt>
                <c:pt idx="534">
                  <c:v>-224.14965123625748</c:v>
                </c:pt>
                <c:pt idx="535">
                  <c:v>-224.63167636386856</c:v>
                </c:pt>
                <c:pt idx="536">
                  <c:v>-225.11160273420973</c:v>
                </c:pt>
                <c:pt idx="537">
                  <c:v>-225.60027242631523</c:v>
                </c:pt>
                <c:pt idx="538">
                  <c:v>-226.08678321939564</c:v>
                </c:pt>
                <c:pt idx="539">
                  <c:v>-226.57115318654783</c:v>
                </c:pt>
                <c:pt idx="540">
                  <c:v>-227.05340023477549</c:v>
                </c:pt>
                <c:pt idx="541">
                  <c:v>-227.54490250473401</c:v>
                </c:pt>
                <c:pt idx="542">
                  <c:v>-228.0342174300244</c:v>
                </c:pt>
                <c:pt idx="543">
                  <c:v>-228.52136369165896</c:v>
                </c:pt>
                <c:pt idx="544">
                  <c:v>-229.00635979538509</c:v>
                </c:pt>
                <c:pt idx="545">
                  <c:v>-229.50038408229631</c:v>
                </c:pt>
                <c:pt idx="546">
                  <c:v>-229.99219608531658</c:v>
                </c:pt>
                <c:pt idx="547">
                  <c:v>-230.48181506841661</c:v>
                </c:pt>
                <c:pt idx="548">
                  <c:v>-230.96926011152598</c:v>
                </c:pt>
                <c:pt idx="549">
                  <c:v>-231.46574535044405</c:v>
                </c:pt>
                <c:pt idx="550">
                  <c:v>-231.95999478365184</c:v>
                </c:pt>
                <c:pt idx="551">
                  <c:v>-232.45202826047952</c:v>
                </c:pt>
                <c:pt idx="552">
                  <c:v>-232.94186543752045</c:v>
                </c:pt>
                <c:pt idx="553">
                  <c:v>-233.44097947613363</c:v>
                </c:pt>
                <c:pt idx="554">
                  <c:v>-233.93783365569251</c:v>
                </c:pt>
                <c:pt idx="555">
                  <c:v>-234.43244844122336</c:v>
                </c:pt>
                <c:pt idx="556">
                  <c:v>-234.9248440960574</c:v>
                </c:pt>
                <c:pt idx="557">
                  <c:v>-235.92590174309873</c:v>
                </c:pt>
                <c:pt idx="558">
                  <c:v>-236.91791488059891</c:v>
                </c:pt>
                <c:pt idx="559">
                  <c:v>-237.92348164533109</c:v>
                </c:pt>
                <c:pt idx="560">
                  <c:v>-238.91993265520816</c:v>
                </c:pt>
                <c:pt idx="561">
                  <c:v>-239.93076084848204</c:v>
                </c:pt>
                <c:pt idx="562">
                  <c:v>-240.93239410232431</c:v>
                </c:pt>
                <c:pt idx="563">
                  <c:v>-241.94621147067855</c:v>
                </c:pt>
                <c:pt idx="564">
                  <c:v>-242.95080217668672</c:v>
                </c:pt>
                <c:pt idx="565">
                  <c:v>-243.97132848915837</c:v>
                </c:pt>
                <c:pt idx="566">
                  <c:v>-244.9825359814881</c:v>
                </c:pt>
                <c:pt idx="567">
                  <c:v>-246.00913828707178</c:v>
                </c:pt>
                <c:pt idx="568">
                  <c:v>-247.02634889565317</c:v>
                </c:pt>
                <c:pt idx="569">
                  <c:v>-248.05442728866026</c:v>
                </c:pt>
                <c:pt idx="570">
                  <c:v>-249.07313343114467</c:v>
                </c:pt>
                <c:pt idx="571">
                  <c:v>-250.11024749107773</c:v>
                </c:pt>
                <c:pt idx="572">
                  <c:v>-251.1378810227113</c:v>
                </c:pt>
                <c:pt idx="573">
                  <c:v>-252.1755823701439</c:v>
                </c:pt>
                <c:pt idx="574">
                  <c:v>-253.20385901516096</c:v>
                </c:pt>
                <c:pt idx="575">
                  <c:v>-254.24951163318869</c:v>
                </c:pt>
                <c:pt idx="576">
                  <c:v>-255.28567375407192</c:v>
                </c:pt>
                <c:pt idx="577">
                  <c:v>-259.57203881477068</c:v>
                </c:pt>
                <c:pt idx="578">
                  <c:v>-263.70738795664573</c:v>
                </c:pt>
                <c:pt idx="579">
                  <c:v>-272.30901766406913</c:v>
                </c:pt>
                <c:pt idx="580">
                  <c:v>-281.14836231029915</c:v>
                </c:pt>
                <c:pt idx="581">
                  <c:v>-290.28650876665517</c:v>
                </c:pt>
                <c:pt idx="582">
                  <c:v>-299.84855366466104</c:v>
                </c:pt>
                <c:pt idx="583">
                  <c:v>-310.0171836622448</c:v>
                </c:pt>
                <c:pt idx="584">
                  <c:v>-321.1009551648151</c:v>
                </c:pt>
                <c:pt idx="585">
                  <c:v>-333.56747929824871</c:v>
                </c:pt>
                <c:pt idx="586">
                  <c:v>-348.14034176465094</c:v>
                </c:pt>
                <c:pt idx="587">
                  <c:v>-365.80415552931055</c:v>
                </c:pt>
                <c:pt idx="588">
                  <c:v>-387.36515910817968</c:v>
                </c:pt>
                <c:pt idx="589">
                  <c:v>-232.22651748221608</c:v>
                </c:pt>
                <c:pt idx="590">
                  <c:v>-257.44515414781006</c:v>
                </c:pt>
                <c:pt idx="591">
                  <c:v>-280.10362171784152</c:v>
                </c:pt>
                <c:pt idx="592">
                  <c:v>-299.83212404601437</c:v>
                </c:pt>
                <c:pt idx="593">
                  <c:v>-318.25117282231275</c:v>
                </c:pt>
                <c:pt idx="594">
                  <c:v>-338.17574909551945</c:v>
                </c:pt>
                <c:pt idx="595">
                  <c:v>-364.47273930106513</c:v>
                </c:pt>
                <c:pt idx="596">
                  <c:v>-403.7245424721371</c:v>
                </c:pt>
                <c:pt idx="597">
                  <c:v>-268.58368411454899</c:v>
                </c:pt>
                <c:pt idx="598">
                  <c:v>-302.85285505973297</c:v>
                </c:pt>
                <c:pt idx="599">
                  <c:v>-332.37094283880731</c:v>
                </c:pt>
                <c:pt idx="600">
                  <c:v>-373.70113423387892</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1.3169048313405269</c:v>
                </c:pt>
                <c:pt idx="25">
                  <c:v>1.3264054956093452</c:v>
                </c:pt>
                <c:pt idx="26">
                  <c:v>1.3359061598781634</c:v>
                </c:pt>
                <c:pt idx="27">
                  <c:v>1.3454068241469817</c:v>
                </c:pt>
                <c:pt idx="28">
                  <c:v>1.3549074884157999</c:v>
                </c:pt>
                <c:pt idx="29">
                  <c:v>1.3644081526846181</c:v>
                </c:pt>
                <c:pt idx="30">
                  <c:v>1.3739088169534364</c:v>
                </c:pt>
                <c:pt idx="31">
                  <c:v>1.3834094812222546</c:v>
                </c:pt>
                <c:pt idx="32">
                  <c:v>1.3929101454910728</c:v>
                </c:pt>
                <c:pt idx="33">
                  <c:v>1.4024108097598911</c:v>
                </c:pt>
                <c:pt idx="34">
                  <c:v>1.4119114740287095</c:v>
                </c:pt>
                <c:pt idx="35">
                  <c:v>1.4214121382975275</c:v>
                </c:pt>
                <c:pt idx="36">
                  <c:v>1.4309128025663458</c:v>
                </c:pt>
                <c:pt idx="37">
                  <c:v>1.440413466835164</c:v>
                </c:pt>
                <c:pt idx="38">
                  <c:v>1.4499141311039825</c:v>
                </c:pt>
                <c:pt idx="39">
                  <c:v>1.4594147953728007</c:v>
                </c:pt>
                <c:pt idx="40">
                  <c:v>1.468915459641619</c:v>
                </c:pt>
                <c:pt idx="41">
                  <c:v>1.4784161239104372</c:v>
                </c:pt>
                <c:pt idx="42">
                  <c:v>1.4879167881792554</c:v>
                </c:pt>
                <c:pt idx="43">
                  <c:v>1.4974174524480737</c:v>
                </c:pt>
                <c:pt idx="44">
                  <c:v>1.5069181167168919</c:v>
                </c:pt>
                <c:pt idx="45">
                  <c:v>1.5164187809857101</c:v>
                </c:pt>
                <c:pt idx="46">
                  <c:v>1.5259194452545284</c:v>
                </c:pt>
                <c:pt idx="47">
                  <c:v>1.5354201095233466</c:v>
                </c:pt>
                <c:pt idx="48">
                  <c:v>1.5449207737921649</c:v>
                </c:pt>
                <c:pt idx="49">
                  <c:v>1.5544214380609831</c:v>
                </c:pt>
                <c:pt idx="50">
                  <c:v>1.5639221023298013</c:v>
                </c:pt>
                <c:pt idx="51">
                  <c:v>1.5734227665986196</c:v>
                </c:pt>
                <c:pt idx="52">
                  <c:v>1.5829234308674378</c:v>
                </c:pt>
                <c:pt idx="53">
                  <c:v>1.592424095136256</c:v>
                </c:pt>
                <c:pt idx="54">
                  <c:v>1.6019247594050745</c:v>
                </c:pt>
                <c:pt idx="55">
                  <c:v>1.6114254236738925</c:v>
                </c:pt>
                <c:pt idx="56">
                  <c:v>1.6209260879427108</c:v>
                </c:pt>
                <c:pt idx="57">
                  <c:v>1.630426752211529</c:v>
                </c:pt>
                <c:pt idx="58">
                  <c:v>1.6399274164803475</c:v>
                </c:pt>
                <c:pt idx="59">
                  <c:v>1.6444444444444444</c:v>
                </c:pt>
                <c:pt idx="60">
                  <c:v>1.6444444444444444</c:v>
                </c:pt>
                <c:pt idx="61">
                  <c:v>1.6444444444444444</c:v>
                </c:pt>
                <c:pt idx="62">
                  <c:v>1.6444444444444444</c:v>
                </c:pt>
                <c:pt idx="63">
                  <c:v>1.6444444444444444</c:v>
                </c:pt>
                <c:pt idx="64">
                  <c:v>1.6444444444444444</c:v>
                </c:pt>
                <c:pt idx="65">
                  <c:v>1.6444444444444444</c:v>
                </c:pt>
                <c:pt idx="66">
                  <c:v>1.6444444444444444</c:v>
                </c:pt>
                <c:pt idx="67">
                  <c:v>1.6444444444444444</c:v>
                </c:pt>
                <c:pt idx="68">
                  <c:v>1.6444444444444444</c:v>
                </c:pt>
                <c:pt idx="69">
                  <c:v>1.6444444444444444</c:v>
                </c:pt>
                <c:pt idx="70">
                  <c:v>1.6444444444444444</c:v>
                </c:pt>
                <c:pt idx="71">
                  <c:v>1.6444444444444444</c:v>
                </c:pt>
                <c:pt idx="72">
                  <c:v>1.6444444444444444</c:v>
                </c:pt>
                <c:pt idx="73">
                  <c:v>1.6444444444444444</c:v>
                </c:pt>
                <c:pt idx="74">
                  <c:v>1.6444444444444444</c:v>
                </c:pt>
                <c:pt idx="75">
                  <c:v>1.6444444444444444</c:v>
                </c:pt>
                <c:pt idx="76">
                  <c:v>1.6444444444444444</c:v>
                </c:pt>
                <c:pt idx="77">
                  <c:v>1.6444444444444444</c:v>
                </c:pt>
                <c:pt idx="78">
                  <c:v>1.6444444444444444</c:v>
                </c:pt>
                <c:pt idx="79">
                  <c:v>1.6444444444444444</c:v>
                </c:pt>
                <c:pt idx="80">
                  <c:v>1.6444444444444444</c:v>
                </c:pt>
                <c:pt idx="81">
                  <c:v>1.6444444444444444</c:v>
                </c:pt>
                <c:pt idx="82">
                  <c:v>1.6444444444444444</c:v>
                </c:pt>
                <c:pt idx="83">
                  <c:v>1.6444444444444444</c:v>
                </c:pt>
                <c:pt idx="84">
                  <c:v>1.6444444444444444</c:v>
                </c:pt>
                <c:pt idx="85">
                  <c:v>1.6444444444444444</c:v>
                </c:pt>
                <c:pt idx="86">
                  <c:v>1.6444444444444444</c:v>
                </c:pt>
                <c:pt idx="87">
                  <c:v>1.6444444444444444</c:v>
                </c:pt>
                <c:pt idx="88">
                  <c:v>1.6444444444444444</c:v>
                </c:pt>
                <c:pt idx="89">
                  <c:v>1.6444444444444444</c:v>
                </c:pt>
                <c:pt idx="90">
                  <c:v>1.6444444444444444</c:v>
                </c:pt>
                <c:pt idx="91">
                  <c:v>1.6444444444444444</c:v>
                </c:pt>
                <c:pt idx="92">
                  <c:v>1.6444444444444444</c:v>
                </c:pt>
                <c:pt idx="93">
                  <c:v>1.6444444444444444</c:v>
                </c:pt>
                <c:pt idx="94">
                  <c:v>1.6444444444444444</c:v>
                </c:pt>
                <c:pt idx="95">
                  <c:v>1.6444444444444444</c:v>
                </c:pt>
                <c:pt idx="96">
                  <c:v>1.6444444444444444</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Dual'!$AJ$5:$AJ$105</c:f>
              <c:numCache>
                <c:formatCode>0.000</c:formatCode>
                <c:ptCount val="101"/>
                <c:pt idx="0">
                  <c:v>1.0057142857142858</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1.2391385341739585</c:v>
                </c:pt>
                <c:pt idx="31">
                  <c:v>1.2416221676416399</c:v>
                </c:pt>
                <c:pt idx="32">
                  <c:v>1.244066055278928</c:v>
                </c:pt>
                <c:pt idx="33">
                  <c:v>1.2464720462982966</c:v>
                </c:pt>
                <c:pt idx="34">
                  <c:v>1.2488418508164334</c:v>
                </c:pt>
                <c:pt idx="35">
                  <c:v>1.2511770540756046</c:v>
                </c:pt>
                <c:pt idx="36">
                  <c:v>1.2534791288484535</c:v>
                </c:pt>
                <c:pt idx="37">
                  <c:v>1.2557494463020276</c:v>
                </c:pt>
                <c:pt idx="38">
                  <c:v>1.2579892855486829</c:v>
                </c:pt>
                <c:pt idx="39">
                  <c:v>1.2601998420727878</c:v>
                </c:pt>
                <c:pt idx="40">
                  <c:v>1.2623822351908502</c:v>
                </c:pt>
                <c:pt idx="41">
                  <c:v>1.2645375146772184</c:v>
                </c:pt>
                <c:pt idx="42">
                  <c:v>1.2666666666666666</c:v>
                </c:pt>
                <c:pt idx="43">
                  <c:v>1.2687706189280488</c:v>
                </c:pt>
                <c:pt idx="44">
                  <c:v>1.2708502455890343</c:v>
                </c:pt>
                <c:pt idx="45">
                  <c:v>1.2729063713801834</c:v>
                </c:pt>
                <c:pt idx="46">
                  <c:v>1.2749397754568119</c:v>
                </c:pt>
                <c:pt idx="47">
                  <c:v>1.2769511948488725</c:v>
                </c:pt>
                <c:pt idx="48">
                  <c:v>1.3710936132983376</c:v>
                </c:pt>
                <c:pt idx="49">
                  <c:v>1.3769728783902011</c:v>
                </c:pt>
                <c:pt idx="50">
                  <c:v>1.3828521434820646</c:v>
                </c:pt>
                <c:pt idx="51">
                  <c:v>1.3887314085739282</c:v>
                </c:pt>
                <c:pt idx="52">
                  <c:v>1.3946106736657917</c:v>
                </c:pt>
                <c:pt idx="53">
                  <c:v>1.4004899387576553</c:v>
                </c:pt>
                <c:pt idx="54">
                  <c:v>1.4063692038495188</c:v>
                </c:pt>
                <c:pt idx="55">
                  <c:v>1.4122484689413823</c:v>
                </c:pt>
                <c:pt idx="56">
                  <c:v>1.4181277340332459</c:v>
                </c:pt>
                <c:pt idx="57">
                  <c:v>1.4240069991251092</c:v>
                </c:pt>
                <c:pt idx="58">
                  <c:v>1.429886264216973</c:v>
                </c:pt>
                <c:pt idx="59">
                  <c:v>1.4357655293088363</c:v>
                </c:pt>
                <c:pt idx="60">
                  <c:v>1.4416447944007</c:v>
                </c:pt>
                <c:pt idx="61">
                  <c:v>1.4475240594925634</c:v>
                </c:pt>
                <c:pt idx="62">
                  <c:v>1.4534033245844269</c:v>
                </c:pt>
                <c:pt idx="63">
                  <c:v>1.4592825896762904</c:v>
                </c:pt>
                <c:pt idx="64">
                  <c:v>1.465161854768154</c:v>
                </c:pt>
                <c:pt idx="65">
                  <c:v>1.4710411198600175</c:v>
                </c:pt>
                <c:pt idx="66">
                  <c:v>1.476920384951881</c:v>
                </c:pt>
                <c:pt idx="67">
                  <c:v>1.4827996500437446</c:v>
                </c:pt>
                <c:pt idx="68">
                  <c:v>1.4886789151356081</c:v>
                </c:pt>
                <c:pt idx="69">
                  <c:v>1.4945581802274714</c:v>
                </c:pt>
                <c:pt idx="70">
                  <c:v>1.500437445319335</c:v>
                </c:pt>
                <c:pt idx="71">
                  <c:v>1.5063167104111985</c:v>
                </c:pt>
                <c:pt idx="72">
                  <c:v>1.5121959755030621</c:v>
                </c:pt>
                <c:pt idx="73">
                  <c:v>1.5180752405949256</c:v>
                </c:pt>
                <c:pt idx="74">
                  <c:v>1.5239545056867891</c:v>
                </c:pt>
                <c:pt idx="75">
                  <c:v>1.5298337707786527</c:v>
                </c:pt>
                <c:pt idx="76">
                  <c:v>1.5357130358705162</c:v>
                </c:pt>
                <c:pt idx="77">
                  <c:v>1.5415923009623798</c:v>
                </c:pt>
                <c:pt idx="78">
                  <c:v>1.5474715660542433</c:v>
                </c:pt>
                <c:pt idx="79">
                  <c:v>1.5533508311461066</c:v>
                </c:pt>
                <c:pt idx="80">
                  <c:v>1.5592300962379704</c:v>
                </c:pt>
                <c:pt idx="81">
                  <c:v>1.5651093613298337</c:v>
                </c:pt>
                <c:pt idx="82">
                  <c:v>1.5709886264216972</c:v>
                </c:pt>
                <c:pt idx="83">
                  <c:v>1.5768678915135608</c:v>
                </c:pt>
                <c:pt idx="84">
                  <c:v>1.5827471566054243</c:v>
                </c:pt>
                <c:pt idx="85">
                  <c:v>1.5886264216972878</c:v>
                </c:pt>
                <c:pt idx="86">
                  <c:v>1.5945056867891514</c:v>
                </c:pt>
                <c:pt idx="87">
                  <c:v>1.6003849518810149</c:v>
                </c:pt>
                <c:pt idx="88">
                  <c:v>1.6062642169728782</c:v>
                </c:pt>
                <c:pt idx="89">
                  <c:v>1.612143482064742</c:v>
                </c:pt>
                <c:pt idx="90">
                  <c:v>1.6180227471566053</c:v>
                </c:pt>
                <c:pt idx="91">
                  <c:v>1.6239020122484691</c:v>
                </c:pt>
                <c:pt idx="92">
                  <c:v>1.6297812773403324</c:v>
                </c:pt>
                <c:pt idx="93">
                  <c:v>1.6356605424321962</c:v>
                </c:pt>
                <c:pt idx="94">
                  <c:v>1.6415398075240595</c:v>
                </c:pt>
                <c:pt idx="95">
                  <c:v>1.6444444444444444</c:v>
                </c:pt>
                <c:pt idx="96">
                  <c:v>1.6444444444444444</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1.2610340374119902</c:v>
                </c:pt>
                <c:pt idx="31">
                  <c:v>1.2667722090294269</c:v>
                </c:pt>
                <c:pt idx="32">
                  <c:v>1.2725103806468636</c:v>
                </c:pt>
                <c:pt idx="33">
                  <c:v>1.2782485522643003</c:v>
                </c:pt>
                <c:pt idx="34">
                  <c:v>1.2839867238817368</c:v>
                </c:pt>
                <c:pt idx="35">
                  <c:v>1.2897248954991736</c:v>
                </c:pt>
                <c:pt idx="36">
                  <c:v>1.2954630671166103</c:v>
                </c:pt>
                <c:pt idx="37">
                  <c:v>1.301201238734047</c:v>
                </c:pt>
                <c:pt idx="38">
                  <c:v>1.3069394103514838</c:v>
                </c:pt>
                <c:pt idx="39">
                  <c:v>1.3126775819689205</c:v>
                </c:pt>
                <c:pt idx="40">
                  <c:v>1.3184157535863572</c:v>
                </c:pt>
                <c:pt idx="41">
                  <c:v>1.3241539252037939</c:v>
                </c:pt>
                <c:pt idx="42">
                  <c:v>1.3298920968212307</c:v>
                </c:pt>
                <c:pt idx="43">
                  <c:v>1.3356302684386674</c:v>
                </c:pt>
                <c:pt idx="44">
                  <c:v>1.3413684400561041</c:v>
                </c:pt>
                <c:pt idx="45">
                  <c:v>1.3471066116735408</c:v>
                </c:pt>
                <c:pt idx="46">
                  <c:v>1.3528447832909776</c:v>
                </c:pt>
                <c:pt idx="47">
                  <c:v>1.3585829549084141</c:v>
                </c:pt>
                <c:pt idx="48">
                  <c:v>1.3643211265258508</c:v>
                </c:pt>
                <c:pt idx="49">
                  <c:v>1.3700592981432875</c:v>
                </c:pt>
                <c:pt idx="50">
                  <c:v>1.3757974697607243</c:v>
                </c:pt>
                <c:pt idx="51">
                  <c:v>1.381535641378161</c:v>
                </c:pt>
                <c:pt idx="52">
                  <c:v>1.3872738129955977</c:v>
                </c:pt>
                <c:pt idx="53">
                  <c:v>1.3930119846130344</c:v>
                </c:pt>
                <c:pt idx="54">
                  <c:v>1.3987501562304712</c:v>
                </c:pt>
                <c:pt idx="55">
                  <c:v>1.4044883278479079</c:v>
                </c:pt>
                <c:pt idx="56">
                  <c:v>1.4102264994653446</c:v>
                </c:pt>
                <c:pt idx="57">
                  <c:v>1.4159646710827811</c:v>
                </c:pt>
                <c:pt idx="58">
                  <c:v>1.4217028427002179</c:v>
                </c:pt>
                <c:pt idx="59">
                  <c:v>1.4274410143176546</c:v>
                </c:pt>
                <c:pt idx="60">
                  <c:v>1.4331791859350913</c:v>
                </c:pt>
                <c:pt idx="61">
                  <c:v>1.438917357552528</c:v>
                </c:pt>
                <c:pt idx="62">
                  <c:v>1.4446555291699648</c:v>
                </c:pt>
                <c:pt idx="63">
                  <c:v>1.4503937007874015</c:v>
                </c:pt>
                <c:pt idx="64">
                  <c:v>1.4561318724048382</c:v>
                </c:pt>
                <c:pt idx="65">
                  <c:v>1.4618700440222749</c:v>
                </c:pt>
                <c:pt idx="66">
                  <c:v>1.4676082156397117</c:v>
                </c:pt>
                <c:pt idx="67">
                  <c:v>1.4733463872571484</c:v>
                </c:pt>
                <c:pt idx="68">
                  <c:v>1.4790845588745851</c:v>
                </c:pt>
                <c:pt idx="69">
                  <c:v>1.4848227304920218</c:v>
                </c:pt>
                <c:pt idx="70">
                  <c:v>1.4905609021094584</c:v>
                </c:pt>
                <c:pt idx="71">
                  <c:v>1.4962990737268953</c:v>
                </c:pt>
                <c:pt idx="72">
                  <c:v>1.5020372453443318</c:v>
                </c:pt>
                <c:pt idx="73">
                  <c:v>1.5077754169617685</c:v>
                </c:pt>
                <c:pt idx="74">
                  <c:v>1.5135135885792053</c:v>
                </c:pt>
                <c:pt idx="75">
                  <c:v>1.519251760196642</c:v>
                </c:pt>
                <c:pt idx="76">
                  <c:v>1.5249899318140789</c:v>
                </c:pt>
                <c:pt idx="77">
                  <c:v>1.5307281034315154</c:v>
                </c:pt>
                <c:pt idx="78">
                  <c:v>1.5364662750489522</c:v>
                </c:pt>
                <c:pt idx="79">
                  <c:v>1.5422044466663889</c:v>
                </c:pt>
                <c:pt idx="80">
                  <c:v>1.5479426182838256</c:v>
                </c:pt>
                <c:pt idx="81">
                  <c:v>1.5536807899012623</c:v>
                </c:pt>
                <c:pt idx="82">
                  <c:v>1.5594189615186989</c:v>
                </c:pt>
                <c:pt idx="83">
                  <c:v>1.5651571331361358</c:v>
                </c:pt>
                <c:pt idx="84">
                  <c:v>1.5708953047535723</c:v>
                </c:pt>
                <c:pt idx="85">
                  <c:v>1.576633476371009</c:v>
                </c:pt>
                <c:pt idx="86">
                  <c:v>1.5823716479884458</c:v>
                </c:pt>
                <c:pt idx="87">
                  <c:v>1.5881098196058825</c:v>
                </c:pt>
                <c:pt idx="88">
                  <c:v>1.5938479912233192</c:v>
                </c:pt>
                <c:pt idx="89">
                  <c:v>1.5995861628407559</c:v>
                </c:pt>
                <c:pt idx="90">
                  <c:v>1.6053243344581927</c:v>
                </c:pt>
                <c:pt idx="91">
                  <c:v>1.6110625060756294</c:v>
                </c:pt>
                <c:pt idx="92">
                  <c:v>1.6168006776930661</c:v>
                </c:pt>
                <c:pt idx="93">
                  <c:v>1.6225388493105029</c:v>
                </c:pt>
                <c:pt idx="94">
                  <c:v>1.6282770209279396</c:v>
                </c:pt>
                <c:pt idx="95">
                  <c:v>1.6340151925453763</c:v>
                </c:pt>
                <c:pt idx="96">
                  <c:v>1.6397533641628128</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1.3953028857661509E-4</c:v>
                </c:pt>
                <c:pt idx="1">
                  <c:v>57.263984930404675</c:v>
                </c:pt>
                <c:pt idx="2">
                  <c:v>70.997771786303105</c:v>
                </c:pt>
                <c:pt idx="3">
                  <c:v>77.166807672241518</c:v>
                </c:pt>
                <c:pt idx="4">
                  <c:v>80.671599024796222</c:v>
                </c:pt>
                <c:pt idx="5">
                  <c:v>82.931561826487808</c:v>
                </c:pt>
                <c:pt idx="6">
                  <c:v>84.50988183785168</c:v>
                </c:pt>
                <c:pt idx="7">
                  <c:v>85.674535464916261</c:v>
                </c:pt>
                <c:pt idx="8">
                  <c:v>86.56930661788347</c:v>
                </c:pt>
                <c:pt idx="9">
                  <c:v>87.278262090541475</c:v>
                </c:pt>
                <c:pt idx="10">
                  <c:v>87.853837868091347</c:v>
                </c:pt>
                <c:pt idx="11">
                  <c:v>88.330436756056201</c:v>
                </c:pt>
                <c:pt idx="12">
                  <c:v>88.731566840206767</c:v>
                </c:pt>
                <c:pt idx="13">
                  <c:v>89.07383778856132</c:v>
                </c:pt>
                <c:pt idx="14">
                  <c:v>89.369318317389855</c:v>
                </c:pt>
                <c:pt idx="15">
                  <c:v>89.626988737851363</c:v>
                </c:pt>
                <c:pt idx="16">
                  <c:v>89.853669464448885</c:v>
                </c:pt>
                <c:pt idx="17">
                  <c:v>89.932824421501962</c:v>
                </c:pt>
                <c:pt idx="18">
                  <c:v>89.920854906537329</c:v>
                </c:pt>
                <c:pt idx="19">
                  <c:v>89.905777096295665</c:v>
                </c:pt>
                <c:pt idx="20">
                  <c:v>89.888194932393716</c:v>
                </c:pt>
                <c:pt idx="21">
                  <c:v>89.868591838048076</c:v>
                </c:pt>
                <c:pt idx="22">
                  <c:v>89.847358530548192</c:v>
                </c:pt>
                <c:pt idx="23">
                  <c:v>89.824813538889885</c:v>
                </c:pt>
                <c:pt idx="24">
                  <c:v>89.801218556732223</c:v>
                </c:pt>
                <c:pt idx="25">
                  <c:v>89.776790079839799</c:v>
                </c:pt>
                <c:pt idx="26">
                  <c:v>89.751708331400764</c:v>
                </c:pt>
                <c:pt idx="27">
                  <c:v>89.726124181192617</c:v>
                </c:pt>
                <c:pt idx="28">
                  <c:v>89.700164562644559</c:v>
                </c:pt>
                <c:pt idx="29">
                  <c:v>89.673936752551541</c:v>
                </c:pt>
                <c:pt idx="30">
                  <c:v>90.670884351720531</c:v>
                </c:pt>
                <c:pt idx="31">
                  <c:v>90.8899672682969</c:v>
                </c:pt>
                <c:pt idx="32">
                  <c:v>91.09170302849229</c:v>
                </c:pt>
                <c:pt idx="33">
                  <c:v>91.277927147336072</c:v>
                </c:pt>
                <c:pt idx="34">
                  <c:v>91.45023619330513</c:v>
                </c:pt>
                <c:pt idx="35">
                  <c:v>91.610024260685037</c:v>
                </c:pt>
                <c:pt idx="36">
                  <c:v>91.758513116371503</c:v>
                </c:pt>
                <c:pt idx="37">
                  <c:v>91.896777240309788</c:v>
                </c:pt>
                <c:pt idx="38">
                  <c:v>92.025764721900899</c:v>
                </c:pt>
                <c:pt idx="39">
                  <c:v>92.14631477623935</c:v>
                </c:pt>
                <c:pt idx="40">
                  <c:v>92.259172489799738</c:v>
                </c:pt>
                <c:pt idx="41">
                  <c:v>92.36500128462832</c:v>
                </c:pt>
                <c:pt idx="42">
                  <c:v>92.464393495345035</c:v>
                </c:pt>
                <c:pt idx="43">
                  <c:v>92.5578793784005</c:v>
                </c:pt>
                <c:pt idx="44">
                  <c:v>92.645934813584631</c:v>
                </c:pt>
                <c:pt idx="45">
                  <c:v>92.72898791034217</c:v>
                </c:pt>
                <c:pt idx="46">
                  <c:v>92.807424693410624</c:v>
                </c:pt>
                <c:pt idx="47">
                  <c:v>92.881594011656532</c:v>
                </c:pt>
                <c:pt idx="48">
                  <c:v>89.535137332869823</c:v>
                </c:pt>
                <c:pt idx="49">
                  <c:v>89.496242941840691</c:v>
                </c:pt>
                <c:pt idx="50">
                  <c:v>89.454792393982387</c:v>
                </c:pt>
                <c:pt idx="51">
                  <c:v>89.410978075576622</c:v>
                </c:pt>
                <c:pt idx="52">
                  <c:v>89.364975161069609</c:v>
                </c:pt>
                <c:pt idx="53">
                  <c:v>89.316943439233526</c:v>
                </c:pt>
                <c:pt idx="54">
                  <c:v>89.26702891618892</c:v>
                </c:pt>
                <c:pt idx="55">
                  <c:v>89.215365225980207</c:v>
                </c:pt>
                <c:pt idx="56">
                  <c:v>89.162074874724297</c:v>
                </c:pt>
                <c:pt idx="57">
                  <c:v>89.107270340456708</c:v>
                </c:pt>
                <c:pt idx="58">
                  <c:v>89.051055047541823</c:v>
                </c:pt>
                <c:pt idx="59">
                  <c:v>88.993524231780668</c:v>
                </c:pt>
                <c:pt idx="60">
                  <c:v>88.934765710048723</c:v>
                </c:pt>
                <c:pt idx="61">
                  <c:v>88.874860566355068</c:v>
                </c:pt>
                <c:pt idx="62">
                  <c:v>88.813883764571216</c:v>
                </c:pt>
                <c:pt idx="63">
                  <c:v>88.751904696682658</c:v>
                </c:pt>
                <c:pt idx="64">
                  <c:v>88.688987674230304</c:v>
                </c:pt>
                <c:pt idx="65">
                  <c:v>88.625192369595354</c:v>
                </c:pt>
                <c:pt idx="66">
                  <c:v>88.560574212916663</c:v>
                </c:pt>
                <c:pt idx="67">
                  <c:v>88.495184749686047</c:v>
                </c:pt>
                <c:pt idx="68">
                  <c:v>88.429071963429379</c:v>
                </c:pt>
                <c:pt idx="69">
                  <c:v>88.362280567332334</c:v>
                </c:pt>
                <c:pt idx="70">
                  <c:v>88.294852268194433</c:v>
                </c:pt>
                <c:pt idx="71">
                  <c:v>88.226826005685638</c:v>
                </c:pt>
                <c:pt idx="72">
                  <c:v>88.158238169523202</c:v>
                </c:pt>
                <c:pt idx="73">
                  <c:v>88.08912279687793</c:v>
                </c:pt>
                <c:pt idx="74">
                  <c:v>88.019511752050335</c:v>
                </c:pt>
                <c:pt idx="75">
                  <c:v>87.949434890221923</c:v>
                </c:pt>
                <c:pt idx="76">
                  <c:v>87.878920206882725</c:v>
                </c:pt>
                <c:pt idx="77">
                  <c:v>87.807993974356279</c:v>
                </c:pt>
                <c:pt idx="78">
                  <c:v>87.73668086668637</c:v>
                </c:pt>
                <c:pt idx="79">
                  <c:v>87.665004074011634</c:v>
                </c:pt>
                <c:pt idx="80">
                  <c:v>87.592985407432479</c:v>
                </c:pt>
                <c:pt idx="81">
                  <c:v>87.520645395267891</c:v>
                </c:pt>
                <c:pt idx="82">
                  <c:v>87.448003371505123</c:v>
                </c:pt>
                <c:pt idx="83">
                  <c:v>87.375077557161433</c:v>
                </c:pt>
                <c:pt idx="84">
                  <c:v>87.301885135203577</c:v>
                </c:pt>
                <c:pt idx="85">
                  <c:v>87.228442319604525</c:v>
                </c:pt>
                <c:pt idx="86">
                  <c:v>87.154764419059191</c:v>
                </c:pt>
                <c:pt idx="87">
                  <c:v>87.080865895828538</c:v>
                </c:pt>
                <c:pt idx="88">
                  <c:v>87.006760420136132</c:v>
                </c:pt>
                <c:pt idx="89">
                  <c:v>86.932460920498798</c:v>
                </c:pt>
                <c:pt idx="90">
                  <c:v>86.857979630337951</c:v>
                </c:pt>
                <c:pt idx="91">
                  <c:v>86.783328131183438</c:v>
                </c:pt>
                <c:pt idx="92">
                  <c:v>86.708517392754246</c:v>
                </c:pt>
                <c:pt idx="93">
                  <c:v>86.633557810172348</c:v>
                </c:pt>
                <c:pt idx="94">
                  <c:v>86.558459238543435</c:v>
                </c:pt>
                <c:pt idx="95">
                  <c:v>86.574252138553064</c:v>
                </c:pt>
                <c:pt idx="96">
                  <c:v>86.677449131243762</c:v>
                </c:pt>
                <c:pt idx="97">
                  <c:v>86.778771674668917</c:v>
                </c:pt>
                <c:pt idx="98">
                  <c:v>86.87827059888231</c:v>
                </c:pt>
                <c:pt idx="99">
                  <c:v>86.9759949081824</c:v>
                </c:pt>
                <c:pt idx="100">
                  <c:v>87.071991862464969</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11.286727304369089</c:v>
                </c:pt>
                <c:pt idx="1">
                  <c:v>12.024509752888893</c:v>
                </c:pt>
                <c:pt idx="2">
                  <c:v>12.633872562294505</c:v>
                </c:pt>
                <c:pt idx="3">
                  <c:v>13.243235371700118</c:v>
                </c:pt>
                <c:pt idx="4">
                  <c:v>13.852598181105732</c:v>
                </c:pt>
                <c:pt idx="5">
                  <c:v>14.461960990511342</c:v>
                </c:pt>
                <c:pt idx="6">
                  <c:v>15.071323799916959</c:v>
                </c:pt>
                <c:pt idx="7">
                  <c:v>15.680686609322571</c:v>
                </c:pt>
                <c:pt idx="8">
                  <c:v>16.290049418728184</c:v>
                </c:pt>
                <c:pt idx="9">
                  <c:v>16.899412228133798</c:v>
                </c:pt>
                <c:pt idx="10">
                  <c:v>17.508775037539412</c:v>
                </c:pt>
                <c:pt idx="11">
                  <c:v>18.118137846945025</c:v>
                </c:pt>
                <c:pt idx="12">
                  <c:v>18.727500656350635</c:v>
                </c:pt>
                <c:pt idx="13">
                  <c:v>19.336863465756249</c:v>
                </c:pt>
                <c:pt idx="14">
                  <c:v>19.946226275161866</c:v>
                </c:pt>
                <c:pt idx="15">
                  <c:v>20.555589084567476</c:v>
                </c:pt>
                <c:pt idx="16">
                  <c:v>21.16495189397309</c:v>
                </c:pt>
                <c:pt idx="17">
                  <c:v>22.043442787388429</c:v>
                </c:pt>
                <c:pt idx="18">
                  <c:v>23.077290103193356</c:v>
                </c:pt>
                <c:pt idx="19">
                  <c:v>24.074117152004273</c:v>
                </c:pt>
                <c:pt idx="20">
                  <c:v>25.032909241244791</c:v>
                </c:pt>
                <c:pt idx="21">
                  <c:v>25.952678065613974</c:v>
                </c:pt>
                <c:pt idx="22">
                  <c:v>26.832459748845814</c:v>
                </c:pt>
                <c:pt idx="23">
                  <c:v>27.671313116407276</c:v>
                </c:pt>
                <c:pt idx="24">
                  <c:v>28.468318162701934</c:v>
                </c:pt>
                <c:pt idx="25">
                  <c:v>29.222574683421264</c:v>
                </c:pt>
                <c:pt idx="26">
                  <c:v>29.933201049150135</c:v>
                </c:pt>
                <c:pt idx="27">
                  <c:v>30.599333100602969</c:v>
                </c:pt>
                <c:pt idx="28">
                  <c:v>31.220123149240024</c:v>
                </c:pt>
                <c:pt idx="29">
                  <c:v>31.794739069702796</c:v>
                </c:pt>
                <c:pt idx="30">
                  <c:v>34.832219724943627</c:v>
                </c:pt>
                <c:pt idx="31">
                  <c:v>36.143871201717552</c:v>
                </c:pt>
                <c:pt idx="32">
                  <c:v>37.457893199965092</c:v>
                </c:pt>
                <c:pt idx="33">
                  <c:v>38.774175428925282</c:v>
                </c:pt>
                <c:pt idx="34">
                  <c:v>40.092615893790402</c:v>
                </c:pt>
                <c:pt idx="35">
                  <c:v>41.413120047514923</c:v>
                </c:pt>
                <c:pt idx="36">
                  <c:v>42.735600050968579</c:v>
                </c:pt>
                <c:pt idx="37">
                  <c:v>44.059974124983611</c:v>
                </c:pt>
                <c:pt idx="38">
                  <c:v>45.386165980719724</c:v>
                </c:pt>
                <c:pt idx="39">
                  <c:v>46.714104317078466</c:v>
                </c:pt>
                <c:pt idx="40">
                  <c:v>48.04372237576613</c:v>
                </c:pt>
                <c:pt idx="41">
                  <c:v>49.374957546123682</c:v>
                </c:pt>
                <c:pt idx="42">
                  <c:v>50.707751013084653</c:v>
                </c:pt>
                <c:pt idx="43">
                  <c:v>52.042047442643657</c:v>
                </c:pt>
                <c:pt idx="44">
                  <c:v>53.377794700063816</c:v>
                </c:pt>
                <c:pt idx="45">
                  <c:v>54.714943596751418</c:v>
                </c:pt>
                <c:pt idx="46">
                  <c:v>56.053447662312188</c:v>
                </c:pt>
                <c:pt idx="47">
                  <c:v>57.393262938793534</c:v>
                </c:pt>
                <c:pt idx="48">
                  <c:v>73.198205449463373</c:v>
                </c:pt>
                <c:pt idx="49">
                  <c:v>75.499984064306219</c:v>
                </c:pt>
                <c:pt idx="50">
                  <c:v>77.833469454712841</c:v>
                </c:pt>
                <c:pt idx="51">
                  <c:v>80.198661620683254</c:v>
                </c:pt>
                <c:pt idx="52">
                  <c:v>82.595560562217429</c:v>
                </c:pt>
                <c:pt idx="53">
                  <c:v>85.024166279315367</c:v>
                </c:pt>
                <c:pt idx="54">
                  <c:v>87.484478771977081</c:v>
                </c:pt>
                <c:pt idx="55">
                  <c:v>89.976498040202586</c:v>
                </c:pt>
                <c:pt idx="56">
                  <c:v>92.500224083991824</c:v>
                </c:pt>
                <c:pt idx="57">
                  <c:v>95.055656903344797</c:v>
                </c:pt>
                <c:pt idx="58">
                  <c:v>97.642796498261603</c:v>
                </c:pt>
                <c:pt idx="59">
                  <c:v>100.26164286874217</c:v>
                </c:pt>
                <c:pt idx="60">
                  <c:v>102.91219601478652</c:v>
                </c:pt>
                <c:pt idx="61">
                  <c:v>105.59445593639461</c:v>
                </c:pt>
                <c:pt idx="62">
                  <c:v>108.30842263356649</c:v>
                </c:pt>
                <c:pt idx="63">
                  <c:v>111.05409610630214</c:v>
                </c:pt>
                <c:pt idx="64">
                  <c:v>113.83147635460159</c:v>
                </c:pt>
                <c:pt idx="65">
                  <c:v>116.64056337846472</c:v>
                </c:pt>
                <c:pt idx="66">
                  <c:v>119.48135717789174</c:v>
                </c:pt>
                <c:pt idx="67">
                  <c:v>122.35385775288239</c:v>
                </c:pt>
                <c:pt idx="68">
                  <c:v>125.25806510343693</c:v>
                </c:pt>
                <c:pt idx="69">
                  <c:v>128.19397922955517</c:v>
                </c:pt>
                <c:pt idx="70">
                  <c:v>131.16160013123715</c:v>
                </c:pt>
                <c:pt idx="71">
                  <c:v>134.16092780848297</c:v>
                </c:pt>
                <c:pt idx="72">
                  <c:v>137.19196226129253</c:v>
                </c:pt>
                <c:pt idx="73">
                  <c:v>140.25470348966596</c:v>
                </c:pt>
                <c:pt idx="74">
                  <c:v>143.34915149360299</c:v>
                </c:pt>
                <c:pt idx="75">
                  <c:v>146.47530627310397</c:v>
                </c:pt>
                <c:pt idx="76">
                  <c:v>149.63316782816864</c:v>
                </c:pt>
                <c:pt idx="77">
                  <c:v>152.82273615879706</c:v>
                </c:pt>
                <c:pt idx="78">
                  <c:v>156.04401126498922</c:v>
                </c:pt>
                <c:pt idx="79">
                  <c:v>159.29699314674522</c:v>
                </c:pt>
                <c:pt idx="80">
                  <c:v>162.58168180406497</c:v>
                </c:pt>
                <c:pt idx="81">
                  <c:v>165.89807723694838</c:v>
                </c:pt>
                <c:pt idx="82">
                  <c:v>169.24617944539571</c:v>
                </c:pt>
                <c:pt idx="83">
                  <c:v>172.62598842940679</c:v>
                </c:pt>
                <c:pt idx="84">
                  <c:v>176.03750418898156</c:v>
                </c:pt>
                <c:pt idx="85">
                  <c:v>179.48072672412019</c:v>
                </c:pt>
                <c:pt idx="86">
                  <c:v>182.95565603482251</c:v>
                </c:pt>
                <c:pt idx="87">
                  <c:v>186.46229212108867</c:v>
                </c:pt>
                <c:pt idx="88">
                  <c:v>190.00063498291851</c:v>
                </c:pt>
                <c:pt idx="89">
                  <c:v>193.57068462031225</c:v>
                </c:pt>
                <c:pt idx="90">
                  <c:v>197.17244103326968</c:v>
                </c:pt>
                <c:pt idx="91">
                  <c:v>200.80590422179091</c:v>
                </c:pt>
                <c:pt idx="92">
                  <c:v>204.47107418587586</c:v>
                </c:pt>
                <c:pt idx="93">
                  <c:v>208.16795092552465</c:v>
                </c:pt>
                <c:pt idx="94">
                  <c:v>211.89653444073704</c:v>
                </c:pt>
                <c:pt idx="95">
                  <c:v>214.51183343688976</c:v>
                </c:pt>
                <c:pt idx="96">
                  <c:v>216.01100968959409</c:v>
                </c:pt>
                <c:pt idx="97">
                  <c:v>217.50244748733422</c:v>
                </c:pt>
                <c:pt idx="98">
                  <c:v>218.98626837273571</c:v>
                </c:pt>
                <c:pt idx="99">
                  <c:v>220.46259135636399</c:v>
                </c:pt>
                <c:pt idx="100">
                  <c:v>221.93153298232076</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7.0741827125450438</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32.034761675380452</c:v>
                </c:pt>
                <c:pt idx="18">
                  <c:v>33.840613736239398</c:v>
                </c:pt>
                <c:pt idx="19">
                  <c:v>35.672148599732182</c:v>
                </c:pt>
                <c:pt idx="20">
                  <c:v>37.52921858102404</c:v>
                </c:pt>
                <c:pt idx="21">
                  <c:v>39.411701888703995</c:v>
                </c:pt>
                <c:pt idx="22">
                  <c:v>41.319499245009915</c:v>
                </c:pt>
                <c:pt idx="23">
                  <c:v>43.252531074131305</c:v>
                </c:pt>
                <c:pt idx="24">
                  <c:v>45.21073514352944</c:v>
                </c:pt>
                <c:pt idx="25">
                  <c:v>47.19406457029234</c:v>
                </c:pt>
                <c:pt idx="26">
                  <c:v>49.202486124421469</c:v>
                </c:pt>
                <c:pt idx="27">
                  <c:v>51.235978775747107</c:v>
                </c:pt>
                <c:pt idx="28">
                  <c:v>53.294532442324645</c:v>
                </c:pt>
                <c:pt idx="29">
                  <c:v>55.37814690667448</c:v>
                </c:pt>
                <c:pt idx="30">
                  <c:v>46.173491826284014</c:v>
                </c:pt>
                <c:pt idx="31">
                  <c:v>45.170301307199331</c:v>
                </c:pt>
                <c:pt idx="32">
                  <c:v>44.228747033440762</c:v>
                </c:pt>
                <c:pt idx="33">
                  <c:v>43.343327453059466</c:v>
                </c:pt>
                <c:pt idx="34">
                  <c:v>42.509180043412172</c:v>
                </c:pt>
                <c:pt idx="35">
                  <c:v>41.721990870281118</c:v>
                </c:pt>
                <c:pt idx="36">
                  <c:v>40.977919112731556</c:v>
                </c:pt>
                <c:pt idx="37">
                  <c:v>40.273533738484019</c:v>
                </c:pt>
                <c:pt idx="38">
                  <c:v>39.605760104488141</c:v>
                </c:pt>
                <c:pt idx="39">
                  <c:v>38.97183471169496</c:v>
                </c:pt>
                <c:pt idx="40">
                  <c:v>38.369266695520707</c:v>
                </c:pt>
                <c:pt idx="41">
                  <c:v>37.795804908927138</c:v>
                </c:pt>
                <c:pt idx="42">
                  <c:v>37.249409671694892</c:v>
                </c:pt>
                <c:pt idx="43">
                  <c:v>36.728228430961728</c:v>
                </c:pt>
                <c:pt idx="44">
                  <c:v>36.230574714660108</c:v>
                </c:pt>
                <c:pt idx="45">
                  <c:v>35.754909868856849</c:v>
                </c:pt>
                <c:pt idx="46">
                  <c:v>35.299827158058676</c:v>
                </c:pt>
                <c:pt idx="47">
                  <c:v>34.864037878819822</c:v>
                </c:pt>
                <c:pt idx="48">
                  <c:v>45.652715549249727</c:v>
                </c:pt>
                <c:pt idx="49">
                  <c:v>45.725927941428132</c:v>
                </c:pt>
                <c:pt idx="50">
                  <c:v>45.821166959375148</c:v>
                </c:pt>
                <c:pt idx="51">
                  <c:v>45.937641425225245</c:v>
                </c:pt>
                <c:pt idx="52">
                  <c:v>46.074621357657428</c:v>
                </c:pt>
                <c:pt idx="53">
                  <c:v>46.231432205402939</c:v>
                </c:pt>
                <c:pt idx="54">
                  <c:v>46.407449721483971</c:v>
                </c:pt>
                <c:pt idx="55">
                  <c:v>46.602095396635882</c:v>
                </c:pt>
                <c:pt idx="56">
                  <c:v>46.814832382015304</c:v>
                </c:pt>
                <c:pt idx="57">
                  <c:v>47.045161841106363</c:v>
                </c:pt>
                <c:pt idx="58">
                  <c:v>47.292619679025719</c:v>
                </c:pt>
                <c:pt idx="59">
                  <c:v>47.556773604450242</c:v>
                </c:pt>
                <c:pt idx="60">
                  <c:v>47.837220485361613</c:v>
                </c:pt>
                <c:pt idx="61">
                  <c:v>48.133583964891308</c:v>
                </c:pt>
                <c:pt idx="62">
                  <c:v>48.445512307900024</c:v>
                </c:pt>
                <c:pt idx="63">
                  <c:v>48.772676452654522</c:v>
                </c:pt>
                <c:pt idx="64">
                  <c:v>49.114768245169465</c:v>
                </c:pt>
                <c:pt idx="65">
                  <c:v>49.471498836542899</c:v>
                </c:pt>
                <c:pt idx="66">
                  <c:v>49.842597225998361</c:v>
                </c:pt>
                <c:pt idx="67">
                  <c:v>50.227808934410447</c:v>
                </c:pt>
                <c:pt idx="68">
                  <c:v>50.626894794882325</c:v>
                </c:pt>
                <c:pt idx="69">
                  <c:v>51.039629848499999</c:v>
                </c:pt>
                <c:pt idx="70">
                  <c:v>51.465802334746314</c:v>
                </c:pt>
                <c:pt idx="71">
                  <c:v>51.905212767241814</c:v>
                </c:pt>
                <c:pt idx="72">
                  <c:v>52.357673086517039</c:v>
                </c:pt>
                <c:pt idx="73">
                  <c:v>52.823005882430103</c:v>
                </c:pt>
                <c:pt idx="74">
                  <c:v>53.30104367964114</c:v>
                </c:pt>
                <c:pt idx="75">
                  <c:v>53.791628280259062</c:v>
                </c:pt>
                <c:pt idx="76">
                  <c:v>54.294610158394221</c:v>
                </c:pt>
                <c:pt idx="77">
                  <c:v>54.809847901899104</c:v>
                </c:pt>
                <c:pt idx="78">
                  <c:v>55.337207697061885</c:v>
                </c:pt>
                <c:pt idx="79">
                  <c:v>55.876562852447051</c:v>
                </c:pt>
                <c:pt idx="80">
                  <c:v>56.42779335845843</c:v>
                </c:pt>
                <c:pt idx="81">
                  <c:v>56.990785479536754</c:v>
                </c:pt>
                <c:pt idx="82">
                  <c:v>57.565431376206739</c:v>
                </c:pt>
                <c:pt idx="83">
                  <c:v>58.151628754456219</c:v>
                </c:pt>
                <c:pt idx="84">
                  <c:v>58.749280540169487</c:v>
                </c:pt>
                <c:pt idx="85">
                  <c:v>59.358294576552183</c:v>
                </c:pt>
                <c:pt idx="86">
                  <c:v>59.978583342675975</c:v>
                </c:pt>
                <c:pt idx="87">
                  <c:v>60.610063691444353</c:v>
                </c:pt>
                <c:pt idx="88">
                  <c:v>61.252656605434332</c:v>
                </c:pt>
                <c:pt idx="89">
                  <c:v>61.906286969208665</c:v>
                </c:pt>
                <c:pt idx="90">
                  <c:v>62.57088335681722</c:v>
                </c:pt>
                <c:pt idx="91">
                  <c:v>63.246377833319798</c:v>
                </c:pt>
                <c:pt idx="92">
                  <c:v>63.932705769262995</c:v>
                </c:pt>
                <c:pt idx="93">
                  <c:v>64.629805667136864</c:v>
                </c:pt>
                <c:pt idx="94">
                  <c:v>65.337618998918913</c:v>
                </c:pt>
                <c:pt idx="95">
                  <c:v>65.534153217813724</c:v>
                </c:pt>
                <c:pt idx="96">
                  <c:v>65.226146081850146</c:v>
                </c:pt>
                <c:pt idx="97">
                  <c:v>64.921400051383557</c:v>
                </c:pt>
                <c:pt idx="98">
                  <c:v>64.619863607447925</c:v>
                </c:pt>
                <c:pt idx="99">
                  <c:v>64.321486310588298</c:v>
                </c:pt>
                <c:pt idx="100">
                  <c:v>64.026218772733799</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7.4399036532509628</c:v>
                </c:pt>
                <c:pt idx="1">
                  <c:v>7.5079228789825887</c:v>
                </c:pt>
                <c:pt idx="2">
                  <c:v>7.9091277192235054</c:v>
                </c:pt>
                <c:pt idx="3">
                  <c:v>8.3103325633181395</c:v>
                </c:pt>
                <c:pt idx="4">
                  <c:v>8.7115374112664785</c:v>
                </c:pt>
                <c:pt idx="5">
                  <c:v>9.112742263068526</c:v>
                </c:pt>
                <c:pt idx="6">
                  <c:v>9.5139471187242712</c:v>
                </c:pt>
                <c:pt idx="7">
                  <c:v>9.9151519782337125</c:v>
                </c:pt>
                <c:pt idx="8">
                  <c:v>10.316356841596846</c:v>
                </c:pt>
                <c:pt idx="9">
                  <c:v>10.717561708813667</c:v>
                </c:pt>
                <c:pt idx="10">
                  <c:v>11.11876657988417</c:v>
                </c:pt>
                <c:pt idx="11">
                  <c:v>11.519971454808353</c:v>
                </c:pt>
                <c:pt idx="12">
                  <c:v>11.921176333586207</c:v>
                </c:pt>
                <c:pt idx="13">
                  <c:v>12.322381216217737</c:v>
                </c:pt>
                <c:pt idx="14">
                  <c:v>12.72358610270293</c:v>
                </c:pt>
                <c:pt idx="15">
                  <c:v>13.124790993041781</c:v>
                </c:pt>
                <c:pt idx="16">
                  <c:v>13.525995887234295</c:v>
                </c:pt>
                <c:pt idx="17">
                  <c:v>14.429723467578093</c:v>
                </c:pt>
                <c:pt idx="18">
                  <c:v>15.715814193523636</c:v>
                </c:pt>
                <c:pt idx="19">
                  <c:v>17.050228190344669</c:v>
                </c:pt>
                <c:pt idx="20">
                  <c:v>18.432931141283589</c:v>
                </c:pt>
                <c:pt idx="21">
                  <c:v>19.863889608852055</c:v>
                </c:pt>
                <c:pt idx="22">
                  <c:v>21.343070969344812</c:v>
                </c:pt>
                <c:pt idx="23">
                  <c:v>22.870443355090796</c:v>
                </c:pt>
                <c:pt idx="24">
                  <c:v>24.445975603220557</c:v>
                </c:pt>
                <c:pt idx="25">
                  <c:v>26.069637209965844</c:v>
                </c:pt>
                <c:pt idx="26">
                  <c:v>27.741398289690444</c:v>
                </c:pt>
                <c:pt idx="27">
                  <c:v>29.461229537994981</c:v>
                </c:pt>
                <c:pt idx="28">
                  <c:v>31.229102198350621</c:v>
                </c:pt>
                <c:pt idx="29">
                  <c:v>33.044988031807769</c:v>
                </c:pt>
                <c:pt idx="30">
                  <c:v>30.115349770489171</c:v>
                </c:pt>
                <c:pt idx="31">
                  <c:v>30.544119821296395</c:v>
                </c:pt>
                <c:pt idx="32">
                  <c:v>30.97299582551096</c:v>
                </c:pt>
                <c:pt idx="33">
                  <c:v>31.401974091229626</c:v>
                </c:pt>
                <c:pt idx="34">
                  <c:v>31.831051204646826</c:v>
                </c:pt>
                <c:pt idx="35">
                  <c:v>32.260224001612173</c:v>
                </c:pt>
                <c:pt idx="36">
                  <c:v>32.689489542821988</c:v>
                </c:pt>
                <c:pt idx="37">
                  <c:v>33.118845092092677</c:v>
                </c:pt>
                <c:pt idx="38">
                  <c:v>33.548288097260652</c:v>
                </c:pt>
                <c:pt idx="39">
                  <c:v>33.977816173331021</c:v>
                </c:pt>
                <c:pt idx="40">
                  <c:v>34.407427087559462</c:v>
                </c:pt>
                <c:pt idx="41">
                  <c:v>34.837118746203181</c:v>
                </c:pt>
                <c:pt idx="42">
                  <c:v>35.26688918271801</c:v>
                </c:pt>
                <c:pt idx="43">
                  <c:v>35.696736547213533</c:v>
                </c:pt>
                <c:pt idx="44">
                  <c:v>36.126659097006034</c:v>
                </c:pt>
                <c:pt idx="45">
                  <c:v>36.556655188132609</c:v>
                </c:pt>
                <c:pt idx="46">
                  <c:v>36.986723267709863</c:v>
                </c:pt>
                <c:pt idx="47">
                  <c:v>37.416861867036424</c:v>
                </c:pt>
                <c:pt idx="48">
                  <c:v>83.117638244924464</c:v>
                </c:pt>
                <c:pt idx="49">
                  <c:v>85.806549263437546</c:v>
                </c:pt>
                <c:pt idx="50">
                  <c:v>88.53493088413731</c:v>
                </c:pt>
                <c:pt idx="51">
                  <c:v>91.302815412319461</c:v>
                </c:pt>
                <c:pt idx="52">
                  <c:v>94.110235828740016</c:v>
                </c:pt>
                <c:pt idx="53">
                  <c:v>96.957225791003737</c:v>
                </c:pt>
                <c:pt idx="54">
                  <c:v>99.843819634981628</c:v>
                </c:pt>
                <c:pt idx="55">
                  <c:v>102.77005237625825</c:v>
                </c:pt>
                <c:pt idx="56">
                  <c:v>105.73595971160826</c:v>
                </c:pt>
                <c:pt idx="57">
                  <c:v>108.74157802050283</c:v>
                </c:pt>
                <c:pt idx="58">
                  <c:v>111.78694436664615</c:v>
                </c:pt>
                <c:pt idx="59">
                  <c:v>114.87209649954103</c:v>
                </c:pt>
                <c:pt idx="60">
                  <c:v>117.99707285608569</c:v>
                </c:pt>
                <c:pt idx="61">
                  <c:v>121.16191256219975</c:v>
                </c:pt>
                <c:pt idx="62">
                  <c:v>124.36665543448125</c:v>
                </c:pt>
                <c:pt idx="63">
                  <c:v>127.61134198189359</c:v>
                </c:pt>
                <c:pt idx="64">
                  <c:v>130.89601340748342</c:v>
                </c:pt>
                <c:pt idx="65">
                  <c:v>134.220711610129</c:v>
                </c:pt>
                <c:pt idx="66">
                  <c:v>137.58547918631987</c:v>
                </c:pt>
                <c:pt idx="67">
                  <c:v>140.9903594319666</c:v>
                </c:pt>
                <c:pt idx="68">
                  <c:v>144.43539634424289</c:v>
                </c:pt>
                <c:pt idx="69">
                  <c:v>147.92063462345777</c:v>
                </c:pt>
                <c:pt idx="70">
                  <c:v>151.44611967496053</c:v>
                </c:pt>
                <c:pt idx="71">
                  <c:v>155.01189761107585</c:v>
                </c:pt>
                <c:pt idx="72">
                  <c:v>158.61801525307169</c:v>
                </c:pt>
                <c:pt idx="73">
                  <c:v>162.26452013315884</c:v>
                </c:pt>
                <c:pt idx="74">
                  <c:v>165.95146049652209</c:v>
                </c:pt>
                <c:pt idx="75">
                  <c:v>169.67888530338482</c:v>
                </c:pt>
                <c:pt idx="76">
                  <c:v>173.44684423110419</c:v>
                </c:pt>
                <c:pt idx="77">
                  <c:v>177.25538767630042</c:v>
                </c:pt>
                <c:pt idx="78">
                  <c:v>181.10456675701863</c:v>
                </c:pt>
                <c:pt idx="79">
                  <c:v>184.99443331492239</c:v>
                </c:pt>
                <c:pt idx="80">
                  <c:v>188.92503991752218</c:v>
                </c:pt>
                <c:pt idx="81">
                  <c:v>192.89643986043527</c:v>
                </c:pt>
                <c:pt idx="82">
                  <c:v>196.90868716968069</c:v>
                </c:pt>
                <c:pt idx="83">
                  <c:v>200.96183660400681</c:v>
                </c:pt>
                <c:pt idx="84">
                  <c:v>205.05594365725284</c:v>
                </c:pt>
                <c:pt idx="85">
                  <c:v>209.19106456074525</c:v>
                </c:pt>
                <c:pt idx="86">
                  <c:v>213.36725628572677</c:v>
                </c:pt>
                <c:pt idx="87">
                  <c:v>217.58457654582202</c:v>
                </c:pt>
                <c:pt idx="88">
                  <c:v>221.84308379953512</c:v>
                </c:pt>
                <c:pt idx="89">
                  <c:v>226.14283725278477</c:v>
                </c:pt>
                <c:pt idx="90">
                  <c:v>230.48389686147218</c:v>
                </c:pt>
                <c:pt idx="91">
                  <c:v>234.86632333408593</c:v>
                </c:pt>
                <c:pt idx="92">
                  <c:v>239.29017813434112</c:v>
                </c:pt>
                <c:pt idx="93">
                  <c:v>243.75552348385466</c:v>
                </c:pt>
                <c:pt idx="94">
                  <c:v>248.26242236485623</c:v>
                </c:pt>
                <c:pt idx="95">
                  <c:v>250.32021983200846</c:v>
                </c:pt>
                <c:pt idx="96">
                  <c:v>249.95909266343264</c:v>
                </c:pt>
                <c:pt idx="97">
                  <c:v>249.60176680323937</c:v>
                </c:pt>
                <c:pt idx="98">
                  <c:v>249.24818254548759</c:v>
                </c:pt>
                <c:pt idx="99">
                  <c:v>248.89828142809938</c:v>
                </c:pt>
                <c:pt idx="100">
                  <c:v>248.55200620063712</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9.1199999999999992</c:v>
                </c:pt>
                <c:pt idx="2">
                  <c:v>9.24</c:v>
                </c:pt>
                <c:pt idx="3">
                  <c:v>9.36</c:v>
                </c:pt>
                <c:pt idx="4">
                  <c:v>9.48</c:v>
                </c:pt>
                <c:pt idx="5">
                  <c:v>9.6</c:v>
                </c:pt>
                <c:pt idx="6">
                  <c:v>9.7200000000000006</c:v>
                </c:pt>
                <c:pt idx="7">
                  <c:v>9.84</c:v>
                </c:pt>
                <c:pt idx="8">
                  <c:v>9.9600000000000009</c:v>
                </c:pt>
                <c:pt idx="9">
                  <c:v>10.08</c:v>
                </c:pt>
                <c:pt idx="10">
                  <c:v>10.199999999999999</c:v>
                </c:pt>
                <c:pt idx="11">
                  <c:v>10.32</c:v>
                </c:pt>
                <c:pt idx="12">
                  <c:v>10.44</c:v>
                </c:pt>
                <c:pt idx="13">
                  <c:v>10.56</c:v>
                </c:pt>
                <c:pt idx="14">
                  <c:v>10.68</c:v>
                </c:pt>
                <c:pt idx="15">
                  <c:v>10.8</c:v>
                </c:pt>
                <c:pt idx="16">
                  <c:v>10.92</c:v>
                </c:pt>
                <c:pt idx="17">
                  <c:v>11.04</c:v>
                </c:pt>
                <c:pt idx="18">
                  <c:v>11.16</c:v>
                </c:pt>
                <c:pt idx="19">
                  <c:v>11.280000000000001</c:v>
                </c:pt>
                <c:pt idx="20">
                  <c:v>11.4</c:v>
                </c:pt>
                <c:pt idx="21">
                  <c:v>11.52</c:v>
                </c:pt>
                <c:pt idx="22">
                  <c:v>11.64</c:v>
                </c:pt>
                <c:pt idx="23">
                  <c:v>11.76</c:v>
                </c:pt>
                <c:pt idx="24">
                  <c:v>11.879999999999999</c:v>
                </c:pt>
                <c:pt idx="25">
                  <c:v>12</c:v>
                </c:pt>
                <c:pt idx="26">
                  <c:v>12.120000000000001</c:v>
                </c:pt>
                <c:pt idx="27">
                  <c:v>12.24</c:v>
                </c:pt>
                <c:pt idx="28">
                  <c:v>12.36</c:v>
                </c:pt>
                <c:pt idx="29">
                  <c:v>12.48</c:v>
                </c:pt>
                <c:pt idx="30">
                  <c:v>12.6</c:v>
                </c:pt>
                <c:pt idx="31">
                  <c:v>12.719999999999999</c:v>
                </c:pt>
                <c:pt idx="32">
                  <c:v>12.84</c:v>
                </c:pt>
                <c:pt idx="33">
                  <c:v>12.96</c:v>
                </c:pt>
                <c:pt idx="34">
                  <c:v>13.08</c:v>
                </c:pt>
                <c:pt idx="35">
                  <c:v>13.2</c:v>
                </c:pt>
                <c:pt idx="36">
                  <c:v>13.32</c:v>
                </c:pt>
                <c:pt idx="37">
                  <c:v>13.44</c:v>
                </c:pt>
                <c:pt idx="38">
                  <c:v>13.56</c:v>
                </c:pt>
                <c:pt idx="39">
                  <c:v>13.68</c:v>
                </c:pt>
                <c:pt idx="40">
                  <c:v>13.8</c:v>
                </c:pt>
                <c:pt idx="41">
                  <c:v>13.92</c:v>
                </c:pt>
                <c:pt idx="42">
                  <c:v>14.04</c:v>
                </c:pt>
                <c:pt idx="43">
                  <c:v>14.16</c:v>
                </c:pt>
                <c:pt idx="44">
                  <c:v>14.280000000000001</c:v>
                </c:pt>
                <c:pt idx="45">
                  <c:v>14.4</c:v>
                </c:pt>
                <c:pt idx="46">
                  <c:v>14.52</c:v>
                </c:pt>
                <c:pt idx="47">
                  <c:v>14.64</c:v>
                </c:pt>
                <c:pt idx="48">
                  <c:v>14.76</c:v>
                </c:pt>
                <c:pt idx="49">
                  <c:v>14.879999999999999</c:v>
                </c:pt>
                <c:pt idx="50">
                  <c:v>15</c:v>
                </c:pt>
                <c:pt idx="51">
                  <c:v>15.120000000000001</c:v>
                </c:pt>
                <c:pt idx="52">
                  <c:v>15.24</c:v>
                </c:pt>
                <c:pt idx="53">
                  <c:v>15.36</c:v>
                </c:pt>
                <c:pt idx="54">
                  <c:v>15.48</c:v>
                </c:pt>
                <c:pt idx="55">
                  <c:v>15.600000000000001</c:v>
                </c:pt>
                <c:pt idx="56">
                  <c:v>15.72</c:v>
                </c:pt>
                <c:pt idx="57">
                  <c:v>15.84</c:v>
                </c:pt>
                <c:pt idx="58">
                  <c:v>15.959999999999999</c:v>
                </c:pt>
                <c:pt idx="59">
                  <c:v>16.079999999999998</c:v>
                </c:pt>
                <c:pt idx="60">
                  <c:v>16.2</c:v>
                </c:pt>
                <c:pt idx="61">
                  <c:v>16.32</c:v>
                </c:pt>
                <c:pt idx="62">
                  <c:v>16.439999999999998</c:v>
                </c:pt>
                <c:pt idx="63">
                  <c:v>16.560000000000002</c:v>
                </c:pt>
                <c:pt idx="64">
                  <c:v>16.68</c:v>
                </c:pt>
                <c:pt idx="65">
                  <c:v>16.8</c:v>
                </c:pt>
                <c:pt idx="66">
                  <c:v>16.920000000000002</c:v>
                </c:pt>
                <c:pt idx="67">
                  <c:v>17.04</c:v>
                </c:pt>
                <c:pt idx="68">
                  <c:v>17.16</c:v>
                </c:pt>
                <c:pt idx="69">
                  <c:v>17.28</c:v>
                </c:pt>
                <c:pt idx="70">
                  <c:v>17.399999999999999</c:v>
                </c:pt>
                <c:pt idx="71">
                  <c:v>17.52</c:v>
                </c:pt>
                <c:pt idx="72">
                  <c:v>17.64</c:v>
                </c:pt>
                <c:pt idx="73">
                  <c:v>17.759999999999998</c:v>
                </c:pt>
                <c:pt idx="74">
                  <c:v>17.88</c:v>
                </c:pt>
                <c:pt idx="75">
                  <c:v>18</c:v>
                </c:pt>
                <c:pt idx="76">
                  <c:v>18.12</c:v>
                </c:pt>
                <c:pt idx="77">
                  <c:v>18.240000000000002</c:v>
                </c:pt>
                <c:pt idx="78">
                  <c:v>18.36</c:v>
                </c:pt>
                <c:pt idx="79">
                  <c:v>18.48</c:v>
                </c:pt>
                <c:pt idx="80">
                  <c:v>18.600000000000001</c:v>
                </c:pt>
                <c:pt idx="81">
                  <c:v>18.72</c:v>
                </c:pt>
                <c:pt idx="82">
                  <c:v>18.84</c:v>
                </c:pt>
                <c:pt idx="83">
                  <c:v>18.96</c:v>
                </c:pt>
                <c:pt idx="84">
                  <c:v>19.079999999999998</c:v>
                </c:pt>
                <c:pt idx="85">
                  <c:v>19.2</c:v>
                </c:pt>
                <c:pt idx="86">
                  <c:v>19.32</c:v>
                </c:pt>
                <c:pt idx="87">
                  <c:v>19.439999999999998</c:v>
                </c:pt>
                <c:pt idx="88">
                  <c:v>19.560000000000002</c:v>
                </c:pt>
                <c:pt idx="89">
                  <c:v>19.68</c:v>
                </c:pt>
                <c:pt idx="90">
                  <c:v>19.8</c:v>
                </c:pt>
                <c:pt idx="91">
                  <c:v>19.920000000000002</c:v>
                </c:pt>
                <c:pt idx="92">
                  <c:v>20.04</c:v>
                </c:pt>
                <c:pt idx="93">
                  <c:v>20.16</c:v>
                </c:pt>
                <c:pt idx="94">
                  <c:v>20.28</c:v>
                </c:pt>
                <c:pt idx="95">
                  <c:v>20.399999999999999</c:v>
                </c:pt>
                <c:pt idx="96">
                  <c:v>20.52</c:v>
                </c:pt>
                <c:pt idx="97">
                  <c:v>20.64</c:v>
                </c:pt>
                <c:pt idx="98">
                  <c:v>20.759999999999998</c:v>
                </c:pt>
                <c:pt idx="99">
                  <c:v>20.88</c:v>
                </c:pt>
                <c:pt idx="100">
                  <c:v>21</c:v>
                </c:pt>
              </c:numCache>
            </c:numRef>
          </c:xVal>
          <c:yVal>
            <c:numRef>
              <c:f>'Fsw vs VIN'!$M$6:$M$106</c:f>
              <c:numCache>
                <c:formatCode>0.0</c:formatCode>
                <c:ptCount val="101"/>
                <c:pt idx="0">
                  <c:v>58.357375639553389</c:v>
                </c:pt>
                <c:pt idx="1">
                  <c:v>59.436432136105871</c:v>
                </c:pt>
                <c:pt idx="2">
                  <c:v>60.516492589737446</c:v>
                </c:pt>
                <c:pt idx="3">
                  <c:v>61.597426859729296</c:v>
                </c:pt>
                <c:pt idx="4">
                  <c:v>62.67910879401829</c:v>
                </c:pt>
                <c:pt idx="5">
                  <c:v>63.761416111412963</c:v>
                </c:pt>
                <c:pt idx="6">
                  <c:v>64.844230287534955</c:v>
                </c:pt>
                <c:pt idx="7">
                  <c:v>65.927436444356886</c:v>
                </c:pt>
                <c:pt idx="8">
                  <c:v>67.010923243213057</c:v>
                </c:pt>
                <c:pt idx="9">
                  <c:v>68.094582781163439</c:v>
                </c:pt>
                <c:pt idx="10">
                  <c:v>69.178310490596388</c:v>
                </c:pt>
                <c:pt idx="11">
                  <c:v>70.26200504195954</c:v>
                </c:pt>
                <c:pt idx="12">
                  <c:v>71.345568249512581</c:v>
                </c:pt>
                <c:pt idx="13">
                  <c:v>72.428904979999487</c:v>
                </c:pt>
                <c:pt idx="14">
                  <c:v>73.511923064141527</c:v>
                </c:pt>
                <c:pt idx="15">
                  <c:v>74.594533210856412</c:v>
                </c:pt>
                <c:pt idx="16">
                  <c:v>75.676648924111532</c:v>
                </c:pt>
                <c:pt idx="17">
                  <c:v>76.75818642232403</c:v>
                </c:pt>
                <c:pt idx="18">
                  <c:v>77.839064560221786</c:v>
                </c:pt>
                <c:pt idx="19">
                  <c:v>78.919204753084458</c:v>
                </c:pt>
                <c:pt idx="20">
                  <c:v>79.998530903285229</c:v>
                </c:pt>
                <c:pt idx="21">
                  <c:v>81.076969329057334</c:v>
                </c:pt>
                <c:pt idx="22">
                  <c:v>82.154448695412455</c:v>
                </c:pt>
                <c:pt idx="23">
                  <c:v>83.230899947139662</c:v>
                </c:pt>
                <c:pt idx="24">
                  <c:v>84.306256243817757</c:v>
                </c:pt>
                <c:pt idx="25">
                  <c:v>85.380452896774827</c:v>
                </c:pt>
                <c:pt idx="26">
                  <c:v>86.45342730793152</c:v>
                </c:pt>
                <c:pt idx="27">
                  <c:v>87.525118910467327</c:v>
                </c:pt>
                <c:pt idx="28">
                  <c:v>88.595469111251262</c:v>
                </c:pt>
                <c:pt idx="29">
                  <c:v>89.66442123497923</c:v>
                </c:pt>
                <c:pt idx="30">
                  <c:v>90.731920469963626</c:v>
                </c:pt>
                <c:pt idx="31">
                  <c:v>91.797913815523302</c:v>
                </c:pt>
                <c:pt idx="32">
                  <c:v>92.862350030920766</c:v>
                </c:pt>
                <c:pt idx="33">
                  <c:v>93.925179585798844</c:v>
                </c:pt>
                <c:pt idx="34">
                  <c:v>94.986354612069306</c:v>
                </c:pt>
                <c:pt idx="35">
                  <c:v>96.045828857206317</c:v>
                </c:pt>
                <c:pt idx="36">
                  <c:v>97.103557638901691</c:v>
                </c:pt>
                <c:pt idx="37">
                  <c:v>98.159497801037702</c:v>
                </c:pt>
                <c:pt idx="38">
                  <c:v>99.21360767093806</c:v>
                </c:pt>
                <c:pt idx="39">
                  <c:v>100.26584701785468</c:v>
                </c:pt>
                <c:pt idx="40">
                  <c:v>101.31617701265377</c:v>
                </c:pt>
                <c:pt idx="41">
                  <c:v>102.36456018866279</c:v>
                </c:pt>
                <c:pt idx="42">
                  <c:v>103.41096040364231</c:v>
                </c:pt>
                <c:pt idx="43">
                  <c:v>104.45534280284883</c:v>
                </c:pt>
                <c:pt idx="44">
                  <c:v>105.4976737831535</c:v>
                </c:pt>
                <c:pt idx="45">
                  <c:v>106.53792095818561</c:v>
                </c:pt>
                <c:pt idx="46">
                  <c:v>107.57605312446863</c:v>
                </c:pt>
                <c:pt idx="47">
                  <c:v>108.61204022851875</c:v>
                </c:pt>
                <c:pt idx="48">
                  <c:v>109.64585333487624</c:v>
                </c:pt>
                <c:pt idx="49">
                  <c:v>110.67746459504134</c:v>
                </c:pt>
                <c:pt idx="50">
                  <c:v>111.70684721728793</c:v>
                </c:pt>
                <c:pt idx="51">
                  <c:v>112.73397543732708</c:v>
                </c:pt>
                <c:pt idx="52">
                  <c:v>113.75882448979594</c:v>
                </c:pt>
                <c:pt idx="53">
                  <c:v>114.78137058054656</c:v>
                </c:pt>
                <c:pt idx="54">
                  <c:v>115.80159085971104</c:v>
                </c:pt>
                <c:pt idx="55">
                  <c:v>116.81946339551891</c:v>
                </c:pt>
                <c:pt idx="56">
                  <c:v>117.83496714884565</c:v>
                </c:pt>
                <c:pt idx="57">
                  <c:v>118.84808194846897</c:v>
                </c:pt>
                <c:pt idx="58">
                  <c:v>119.85878846701326</c:v>
                </c:pt>
                <c:pt idx="59">
                  <c:v>120.86706819756068</c:v>
                </c:pt>
                <c:pt idx="60">
                  <c:v>121.87290343090976</c:v>
                </c:pt>
                <c:pt idx="61">
                  <c:v>122.87627723346236</c:v>
                </c:pt>
                <c:pt idx="62">
                  <c:v>123.87717342572057</c:v>
                </c:pt>
                <c:pt idx="63">
                  <c:v>124.87557656137513</c:v>
                </c:pt>
                <c:pt idx="64">
                  <c:v>125.87147190696859</c:v>
                </c:pt>
                <c:pt idx="65">
                  <c:v>126.86484542211655</c:v>
                </c:pt>
                <c:pt idx="66">
                  <c:v>127.85568374026984</c:v>
                </c:pt>
                <c:pt idx="67">
                  <c:v>128.84397415000299</c:v>
                </c:pt>
                <c:pt idx="68">
                  <c:v>129.82970457681313</c:v>
                </c:pt>
                <c:pt idx="69">
                  <c:v>130.81286356541423</c:v>
                </c:pt>
                <c:pt idx="70">
                  <c:v>131.79344026251366</c:v>
                </c:pt>
                <c:pt idx="71">
                  <c:v>132.77142440005542</c:v>
                </c:pt>
                <c:pt idx="72">
                  <c:v>133.74680627891823</c:v>
                </c:pt>
                <c:pt idx="73">
                  <c:v>134.71957675305413</c:v>
                </c:pt>
                <c:pt idx="74">
                  <c:v>135.6897272140566</c:v>
                </c:pt>
                <c:pt idx="75">
                  <c:v>136.65724957614376</c:v>
                </c:pt>
                <c:pt idx="76">
                  <c:v>137.62213626154687</c:v>
                </c:pt>
                <c:pt idx="77">
                  <c:v>138.58438018629164</c:v>
                </c:pt>
                <c:pt idx="78">
                  <c:v>139.54397474636107</c:v>
                </c:pt>
                <c:pt idx="79">
                  <c:v>140.50091380423004</c:v>
                </c:pt>
                <c:pt idx="80">
                  <c:v>141.45519167575941</c:v>
                </c:pt>
                <c:pt idx="81">
                  <c:v>142.40680311744151</c:v>
                </c:pt>
                <c:pt idx="82">
                  <c:v>143.35574331398595</c:v>
                </c:pt>
                <c:pt idx="83">
                  <c:v>144.30200786623584</c:v>
                </c:pt>
                <c:pt idx="84">
                  <c:v>145.24559277940688</c:v>
                </c:pt>
                <c:pt idx="85">
                  <c:v>146.18649445163834</c:v>
                </c:pt>
                <c:pt idx="86">
                  <c:v>147.1247096628486</c:v>
                </c:pt>
                <c:pt idx="87">
                  <c:v>148.06023556388635</c:v>
                </c:pt>
                <c:pt idx="88">
                  <c:v>148.99306966596885</c:v>
                </c:pt>
                <c:pt idx="89">
                  <c:v>149.9232098304</c:v>
                </c:pt>
                <c:pt idx="90">
                  <c:v>150.85065425856035</c:v>
                </c:pt>
                <c:pt idx="91">
                  <c:v>151.77540148216073</c:v>
                </c:pt>
                <c:pt idx="92">
                  <c:v>152.69745035375382</c:v>
                </c:pt>
                <c:pt idx="93">
                  <c:v>153.61680003749478</c:v>
                </c:pt>
                <c:pt idx="94">
                  <c:v>154.53345000014565</c:v>
                </c:pt>
                <c:pt idx="95">
                  <c:v>155.4474000023159</c:v>
                </c:pt>
                <c:pt idx="96">
                  <c:v>156.35865008993318</c:v>
                </c:pt>
                <c:pt idx="97">
                  <c:v>157.26720058593753</c:v>
                </c:pt>
                <c:pt idx="98">
                  <c:v>158.17305208219361</c:v>
                </c:pt>
                <c:pt idx="99">
                  <c:v>159.07620543161462</c:v>
                </c:pt>
                <c:pt idx="100">
                  <c:v>159.97666174049215</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243.15573183147242</c:v>
                </c:pt>
                <c:pt idx="25">
                  <c:v>233.42950255821356</c:v>
                </c:pt>
                <c:pt idx="26">
                  <c:v>224.45144476751304</c:v>
                </c:pt>
                <c:pt idx="27">
                  <c:v>216.13842829464215</c:v>
                </c:pt>
                <c:pt idx="28">
                  <c:v>208.41919871269064</c:v>
                </c:pt>
                <c:pt idx="29">
                  <c:v>201.23232979156342</c:v>
                </c:pt>
                <c:pt idx="30">
                  <c:v>194.52458546517798</c:v>
                </c:pt>
                <c:pt idx="31">
                  <c:v>188.24959883726899</c:v>
                </c:pt>
                <c:pt idx="32">
                  <c:v>182.36679887360438</c:v>
                </c:pt>
                <c:pt idx="33">
                  <c:v>176.84053224107089</c:v>
                </c:pt>
                <c:pt idx="34">
                  <c:v>171.6393401163335</c:v>
                </c:pt>
                <c:pt idx="35">
                  <c:v>166.73535897015253</c:v>
                </c:pt>
                <c:pt idx="36">
                  <c:v>162.10382122098167</c:v>
                </c:pt>
                <c:pt idx="37">
                  <c:v>157.72263686365781</c:v>
                </c:pt>
                <c:pt idx="38">
                  <c:v>153.57204115671942</c:v>
                </c:pt>
                <c:pt idx="39">
                  <c:v>149.6342965116753</c:v>
                </c:pt>
                <c:pt idx="40">
                  <c:v>145.89343909888345</c:v>
                </c:pt>
                <c:pt idx="41">
                  <c:v>142.33506253549604</c:v>
                </c:pt>
                <c:pt idx="42">
                  <c:v>138.94613247512709</c:v>
                </c:pt>
                <c:pt idx="43">
                  <c:v>135.71482706872882</c:v>
                </c:pt>
                <c:pt idx="44">
                  <c:v>132.63039918080312</c:v>
                </c:pt>
                <c:pt idx="45">
                  <c:v>129.68305697678531</c:v>
                </c:pt>
                <c:pt idx="46">
                  <c:v>126.86386008598561</c:v>
                </c:pt>
                <c:pt idx="47">
                  <c:v>124.16462902032636</c:v>
                </c:pt>
                <c:pt idx="48">
                  <c:v>121.57786591573621</c:v>
                </c:pt>
                <c:pt idx="49">
                  <c:v>119.09668497868041</c:v>
                </c:pt>
                <c:pt idx="50">
                  <c:v>116.71475127910678</c:v>
                </c:pt>
                <c:pt idx="51">
                  <c:v>114.42622674422233</c:v>
                </c:pt>
                <c:pt idx="52">
                  <c:v>112.22572238375652</c:v>
                </c:pt>
                <c:pt idx="53">
                  <c:v>110.10825592368565</c:v>
                </c:pt>
                <c:pt idx="54">
                  <c:v>108.06921414732108</c:v>
                </c:pt>
                <c:pt idx="55">
                  <c:v>106.10431934464251</c:v>
                </c:pt>
                <c:pt idx="56">
                  <c:v>104.20959935634532</c:v>
                </c:pt>
                <c:pt idx="57">
                  <c:v>102.3813607711463</c:v>
                </c:pt>
                <c:pt idx="58">
                  <c:v>100.61616489578171</c:v>
                </c:pt>
                <c:pt idx="59">
                  <c:v>98.910806168734553</c:v>
                </c:pt>
                <c:pt idx="60">
                  <c:v>97.262292732588989</c:v>
                </c:pt>
                <c:pt idx="61">
                  <c:v>95.667828917300653</c:v>
                </c:pt>
                <c:pt idx="62">
                  <c:v>94.124799418634495</c:v>
                </c:pt>
                <c:pt idx="63">
                  <c:v>92.630754983418086</c:v>
                </c:pt>
                <c:pt idx="64">
                  <c:v>91.183399436802191</c:v>
                </c:pt>
                <c:pt idx="65">
                  <c:v>89.78057790700521</c:v>
                </c:pt>
                <c:pt idx="66">
                  <c:v>88.420266120535445</c:v>
                </c:pt>
                <c:pt idx="67">
                  <c:v>87.100560656049851</c:v>
                </c:pt>
                <c:pt idx="68">
                  <c:v>85.81967005816675</c:v>
                </c:pt>
                <c:pt idx="69">
                  <c:v>84.575906723990428</c:v>
                </c:pt>
                <c:pt idx="70">
                  <c:v>83.367679485076266</c:v>
                </c:pt>
                <c:pt idx="71">
                  <c:v>82.193486816272369</c:v>
                </c:pt>
                <c:pt idx="72">
                  <c:v>81.051910610490836</c:v>
                </c:pt>
                <c:pt idx="73">
                  <c:v>79.94161046514165</c:v>
                </c:pt>
                <c:pt idx="74">
                  <c:v>78.861318431828906</c:v>
                </c:pt>
                <c:pt idx="75">
                  <c:v>77.8098341860712</c:v>
                </c:pt>
                <c:pt idx="76">
                  <c:v>76.786020578359711</c:v>
                </c:pt>
                <c:pt idx="77">
                  <c:v>75.788799531887491</c:v>
                </c:pt>
                <c:pt idx="78">
                  <c:v>74.817148255837651</c:v>
                </c:pt>
                <c:pt idx="79">
                  <c:v>73.870095746270096</c:v>
                </c:pt>
                <c:pt idx="80">
                  <c:v>72.946719549441724</c:v>
                </c:pt>
                <c:pt idx="81">
                  <c:v>72.046142764880727</c:v>
                </c:pt>
                <c:pt idx="82">
                  <c:v>71.167531267748018</c:v>
                </c:pt>
                <c:pt idx="83">
                  <c:v>70.310091131992039</c:v>
                </c:pt>
                <c:pt idx="84">
                  <c:v>69.473066237563543</c:v>
                </c:pt>
                <c:pt idx="85">
                  <c:v>68.655736046533377</c:v>
                </c:pt>
                <c:pt idx="86">
                  <c:v>67.857413534364412</c:v>
                </c:pt>
                <c:pt idx="87">
                  <c:v>67.077443263854448</c:v>
                </c:pt>
                <c:pt idx="88">
                  <c:v>66.315199590401562</c:v>
                </c:pt>
                <c:pt idx="89">
                  <c:v>65.570084988262224</c:v>
                </c:pt>
                <c:pt idx="90">
                  <c:v>64.841528488392655</c:v>
                </c:pt>
                <c:pt idx="91">
                  <c:v>64.128984219289435</c:v>
                </c:pt>
                <c:pt idx="92">
                  <c:v>63.431930042992803</c:v>
                </c:pt>
                <c:pt idx="93">
                  <c:v>62.749866279089645</c:v>
                </c:pt>
                <c:pt idx="94">
                  <c:v>62.082314510163179</c:v>
                </c:pt>
                <c:pt idx="95">
                  <c:v>61.428816462687784</c:v>
                </c:pt>
                <c:pt idx="96">
                  <c:v>60.788932957868106</c:v>
                </c:pt>
                <c:pt idx="97">
                  <c:v>60.162242927374635</c:v>
                </c:pt>
                <c:pt idx="98">
                  <c:v>59.548342489340207</c:v>
                </c:pt>
                <c:pt idx="99">
                  <c:v>58.946844080356954</c:v>
                </c:pt>
                <c:pt idx="100">
                  <c:v>58.357375639553389</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346.34181955610529</c:v>
                </c:pt>
                <c:pt idx="45">
                  <c:v>338.64533467708077</c:v>
                </c:pt>
                <c:pt idx="46">
                  <c:v>331.28347957540501</c:v>
                </c:pt>
                <c:pt idx="47">
                  <c:v>324.23489490358799</c:v>
                </c:pt>
                <c:pt idx="48">
                  <c:v>317.48000125976324</c:v>
                </c:pt>
                <c:pt idx="49">
                  <c:v>311.00081756058432</c:v>
                </c:pt>
                <c:pt idx="50">
                  <c:v>304.78080120937273</c:v>
                </c:pt>
                <c:pt idx="51">
                  <c:v>298.80470706801242</c:v>
                </c:pt>
                <c:pt idx="52">
                  <c:v>293.05846270131985</c:v>
                </c:pt>
                <c:pt idx="53">
                  <c:v>287.52905774469116</c:v>
                </c:pt>
                <c:pt idx="54">
                  <c:v>282.20444556423394</c:v>
                </c:pt>
                <c:pt idx="55">
                  <c:v>277.07345564488423</c:v>
                </c:pt>
                <c:pt idx="56">
                  <c:v>272.12571536551127</c:v>
                </c:pt>
                <c:pt idx="57">
                  <c:v>267.35158000822167</c:v>
                </c:pt>
                <c:pt idx="58">
                  <c:v>262.74207000807991</c:v>
                </c:pt>
                <c:pt idx="59">
                  <c:v>258.28881458421415</c:v>
                </c:pt>
                <c:pt idx="60">
                  <c:v>253.9840010078106</c:v>
                </c:pt>
                <c:pt idx="61">
                  <c:v>249.82032886014153</c:v>
                </c:pt>
                <c:pt idx="62">
                  <c:v>245.79096871723604</c:v>
                </c:pt>
                <c:pt idx="63">
                  <c:v>241.88952476934347</c:v>
                </c:pt>
                <c:pt idx="64">
                  <c:v>238.11000094482242</c:v>
                </c:pt>
                <c:pt idx="65">
                  <c:v>234.44677016105589</c:v>
                </c:pt>
                <c:pt idx="66">
                  <c:v>230.89454637073683</c:v>
                </c:pt>
                <c:pt idx="67">
                  <c:v>227.44835911147214</c:v>
                </c:pt>
                <c:pt idx="68">
                  <c:v>224.1035303010093</c:v>
                </c:pt>
                <c:pt idx="69">
                  <c:v>220.85565305027009</c:v>
                </c:pt>
                <c:pt idx="70">
                  <c:v>217.70057229240905</c:v>
                </c:pt>
                <c:pt idx="71">
                  <c:v>214.63436704885399</c:v>
                </c:pt>
                <c:pt idx="72">
                  <c:v>211.65333417317547</c:v>
                </c:pt>
                <c:pt idx="73">
                  <c:v>208.75397343107718</c:v>
                </c:pt>
                <c:pt idx="74">
                  <c:v>205.93297379011668</c:v>
                </c:pt>
                <c:pt idx="75">
                  <c:v>203.18720080624846</c:v>
                </c:pt>
                <c:pt idx="76">
                  <c:v>200.51368500616621</c:v>
                </c:pt>
                <c:pt idx="77">
                  <c:v>197.9096111749173</c:v>
                </c:pt>
                <c:pt idx="78">
                  <c:v>195.37230846754656</c:v>
                </c:pt>
                <c:pt idx="79">
                  <c:v>192.89924127175482</c:v>
                </c:pt>
                <c:pt idx="80">
                  <c:v>190.48800075585783</c:v>
                </c:pt>
                <c:pt idx="81">
                  <c:v>188.1362970428226</c:v>
                </c:pt>
                <c:pt idx="82">
                  <c:v>185.84195195693454</c:v>
                </c:pt>
                <c:pt idx="83">
                  <c:v>183.60289229480279</c:v>
                </c:pt>
                <c:pt idx="84">
                  <c:v>181.41714357700749</c:v>
                </c:pt>
                <c:pt idx="85">
                  <c:v>179.28282424080743</c:v>
                </c:pt>
                <c:pt idx="86">
                  <c:v>177.19814023800734</c:v>
                </c:pt>
                <c:pt idx="87">
                  <c:v>175.16138000538655</c:v>
                </c:pt>
                <c:pt idx="88">
                  <c:v>173.17090977805265</c:v>
                </c:pt>
                <c:pt idx="89">
                  <c:v>171.22516921874865</c:v>
                </c:pt>
                <c:pt idx="90">
                  <c:v>169.32266733854038</c:v>
                </c:pt>
                <c:pt idx="91">
                  <c:v>167.46197868646848</c:v>
                </c:pt>
                <c:pt idx="92">
                  <c:v>165.64173978770251</c:v>
                </c:pt>
                <c:pt idx="93">
                  <c:v>163.86064581149068</c:v>
                </c:pt>
                <c:pt idx="94">
                  <c:v>162.11744745179399</c:v>
                </c:pt>
                <c:pt idx="95">
                  <c:v>160.41094800493303</c:v>
                </c:pt>
                <c:pt idx="96">
                  <c:v>158.74000062988162</c:v>
                </c:pt>
                <c:pt idx="97">
                  <c:v>157.10350577802714</c:v>
                </c:pt>
                <c:pt idx="98">
                  <c:v>155.50040878029216</c:v>
                </c:pt>
                <c:pt idx="99">
                  <c:v>153.92969758049122</c:v>
                </c:pt>
                <c:pt idx="100">
                  <c:v>152.39040060468636</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347.77535160976549</c:v>
                </c:pt>
                <c:pt idx="47">
                  <c:v>340.37587604360039</c:v>
                </c:pt>
                <c:pt idx="48">
                  <c:v>333.28471195935873</c:v>
                </c:pt>
                <c:pt idx="49">
                  <c:v>326.48298314386153</c:v>
                </c:pt>
                <c:pt idx="50">
                  <c:v>319.9533234809843</c:v>
                </c:pt>
                <c:pt idx="51">
                  <c:v>313.67972890292577</c:v>
                </c:pt>
                <c:pt idx="52">
                  <c:v>307.64742642402331</c:v>
                </c:pt>
                <c:pt idx="53">
                  <c:v>301.84275800092854</c:v>
                </c:pt>
                <c:pt idx="54">
                  <c:v>296.25307729720765</c:v>
                </c:pt>
                <c:pt idx="55">
                  <c:v>290.8666577099857</c:v>
                </c:pt>
                <c:pt idx="56">
                  <c:v>285.67261025087885</c:v>
                </c:pt>
                <c:pt idx="57">
                  <c:v>280.6608100710389</c:v>
                </c:pt>
                <c:pt idx="58">
                  <c:v>275.82183058705544</c:v>
                </c:pt>
                <c:pt idx="59">
                  <c:v>271.14688430591895</c:v>
                </c:pt>
                <c:pt idx="60">
                  <c:v>266.62776956748695</c:v>
                </c:pt>
                <c:pt idx="61">
                  <c:v>262.25682252539701</c:v>
                </c:pt>
                <c:pt idx="62">
                  <c:v>258.02687377498734</c:v>
                </c:pt>
                <c:pt idx="63">
                  <c:v>253.93120911189226</c:v>
                </c:pt>
                <c:pt idx="64">
                  <c:v>249.96353396951903</c:v>
                </c:pt>
                <c:pt idx="65">
                  <c:v>246.11794113921863</c:v>
                </c:pt>
                <c:pt idx="66">
                  <c:v>242.38888142498809</c:v>
                </c:pt>
                <c:pt idx="67">
                  <c:v>238.77113692610766</c:v>
                </c:pt>
                <c:pt idx="68">
                  <c:v>235.25979667719429</c:v>
                </c:pt>
                <c:pt idx="69">
                  <c:v>231.85023440651037</c:v>
                </c:pt>
                <c:pt idx="70">
                  <c:v>228.53808820070304</c:v>
                </c:pt>
                <c:pt idx="71">
                  <c:v>225.31924188801713</c:v>
                </c:pt>
                <c:pt idx="72">
                  <c:v>222.18980797290581</c:v>
                </c:pt>
                <c:pt idx="73">
                  <c:v>219.14611197327693</c:v>
                </c:pt>
                <c:pt idx="74">
                  <c:v>216.18467802769206</c:v>
                </c:pt>
                <c:pt idx="75">
                  <c:v>213.30221565398952</c:v>
                </c:pt>
                <c:pt idx="76">
                  <c:v>210.49560755327914</c:v>
                </c:pt>
                <c:pt idx="77">
                  <c:v>207.76189836427554</c:v>
                </c:pt>
                <c:pt idx="78">
                  <c:v>205.09828428268222</c:v>
                </c:pt>
                <c:pt idx="79">
                  <c:v>202.50210346897737</c:v>
                </c:pt>
                <c:pt idx="80">
                  <c:v>199.97082717561514</c:v>
                </c:pt>
                <c:pt idx="81">
                  <c:v>197.50205153147175</c:v>
                </c:pt>
                <c:pt idx="82">
                  <c:v>195.09348992742946</c:v>
                </c:pt>
                <c:pt idx="83">
                  <c:v>192.74296595240017</c:v>
                </c:pt>
                <c:pt idx="84">
                  <c:v>190.44840683391919</c:v>
                </c:pt>
                <c:pt idx="85">
                  <c:v>188.20783734175544</c:v>
                </c:pt>
                <c:pt idx="86">
                  <c:v>186.01937411685131</c:v>
                </c:pt>
                <c:pt idx="87">
                  <c:v>183.88122039137025</c:v>
                </c:pt>
                <c:pt idx="88">
                  <c:v>181.79166106874106</c:v>
                </c:pt>
                <c:pt idx="89">
                  <c:v>179.74905813538442</c:v>
                </c:pt>
                <c:pt idx="90">
                  <c:v>177.75184637832461</c:v>
                </c:pt>
                <c:pt idx="91">
                  <c:v>175.7985293851562</c:v>
                </c:pt>
                <c:pt idx="92">
                  <c:v>173.88767580488275</c:v>
                </c:pt>
                <c:pt idx="93">
                  <c:v>172.01791584999151</c:v>
                </c:pt>
                <c:pt idx="94">
                  <c:v>170.18793802180019</c:v>
                </c:pt>
                <c:pt idx="95">
                  <c:v>168.39648604262334</c:v>
                </c:pt>
                <c:pt idx="96">
                  <c:v>166.64235597967937</c:v>
                </c:pt>
                <c:pt idx="97">
                  <c:v>164.92439354689913</c:v>
                </c:pt>
                <c:pt idx="98">
                  <c:v>163.24149157193077</c:v>
                </c:pt>
                <c:pt idx="99">
                  <c:v>161.59258761665873</c:v>
                </c:pt>
                <c:pt idx="100">
                  <c:v>159.97666174049215</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1.3499999999999998E-2</c:v>
                </c:pt>
                <c:pt idx="1">
                  <c:v>1.3546666666666663E-2</c:v>
                </c:pt>
                <c:pt idx="2">
                  <c:v>2.7093333333333327E-2</c:v>
                </c:pt>
                <c:pt idx="3">
                  <c:v>4.0639999999999989E-2</c:v>
                </c:pt>
                <c:pt idx="4">
                  <c:v>5.4186666666666654E-2</c:v>
                </c:pt>
                <c:pt idx="5">
                  <c:v>6.773333333333334E-2</c:v>
                </c:pt>
                <c:pt idx="6">
                  <c:v>8.1279999999999977E-2</c:v>
                </c:pt>
                <c:pt idx="7">
                  <c:v>9.482666666666667E-2</c:v>
                </c:pt>
                <c:pt idx="8">
                  <c:v>0.10837333333333331</c:v>
                </c:pt>
                <c:pt idx="9">
                  <c:v>0.12191999999999997</c:v>
                </c:pt>
                <c:pt idx="10">
                  <c:v>0.13546666666666668</c:v>
                </c:pt>
                <c:pt idx="11">
                  <c:v>0.14901333333333333</c:v>
                </c:pt>
                <c:pt idx="12">
                  <c:v>0.16255999999999995</c:v>
                </c:pt>
                <c:pt idx="13">
                  <c:v>0.17610666666666663</c:v>
                </c:pt>
                <c:pt idx="14">
                  <c:v>0.18965333333333334</c:v>
                </c:pt>
                <c:pt idx="15">
                  <c:v>0.20319999999999994</c:v>
                </c:pt>
                <c:pt idx="16">
                  <c:v>0.21674666666666662</c:v>
                </c:pt>
                <c:pt idx="17">
                  <c:v>0.23029333333333329</c:v>
                </c:pt>
                <c:pt idx="18">
                  <c:v>0.24383999999999995</c:v>
                </c:pt>
                <c:pt idx="19">
                  <c:v>0.25738666666666665</c:v>
                </c:pt>
                <c:pt idx="20">
                  <c:v>0.27093333333333336</c:v>
                </c:pt>
                <c:pt idx="21">
                  <c:v>0.28448000000000001</c:v>
                </c:pt>
                <c:pt idx="22">
                  <c:v>0.29802666666666666</c:v>
                </c:pt>
                <c:pt idx="23">
                  <c:v>0.31157333333333337</c:v>
                </c:pt>
                <c:pt idx="24">
                  <c:v>0.32511999999999991</c:v>
                </c:pt>
                <c:pt idx="25">
                  <c:v>0.33866666666666662</c:v>
                </c:pt>
                <c:pt idx="26">
                  <c:v>0.35221333333333327</c:v>
                </c:pt>
                <c:pt idx="27">
                  <c:v>0.37158893641718838</c:v>
                </c:pt>
                <c:pt idx="28">
                  <c:v>0.39242274896392709</c:v>
                </c:pt>
                <c:pt idx="29">
                  <c:v>0.4136319958642789</c:v>
                </c:pt>
                <c:pt idx="30">
                  <c:v>0.42166337284616029</c:v>
                </c:pt>
                <c:pt idx="31">
                  <c:v>0.42863348757028608</c:v>
                </c:pt>
                <c:pt idx="32">
                  <c:v>0.43549205886368736</c:v>
                </c:pt>
                <c:pt idx="33">
                  <c:v>0.44224427639032249</c:v>
                </c:pt>
                <c:pt idx="34">
                  <c:v>0.44889493945317155</c:v>
                </c:pt>
                <c:pt idx="35">
                  <c:v>0.45544849690533973</c:v>
                </c:pt>
                <c:pt idx="36">
                  <c:v>0.46190908196310659</c:v>
                </c:pt>
                <c:pt idx="37">
                  <c:v>0.46828054269493896</c:v>
                </c:pt>
                <c:pt idx="38">
                  <c:v>0.47456646882531994</c:v>
                </c:pt>
                <c:pt idx="39">
                  <c:v>0.4807702153836072</c:v>
                </c:pt>
                <c:pt idx="40">
                  <c:v>0.48689492364027237</c:v>
                </c:pt>
                <c:pt idx="41">
                  <c:v>0.49294353970138732</c:v>
                </c:pt>
                <c:pt idx="42">
                  <c:v>0.49891883107375296</c:v>
                </c:pt>
                <c:pt idx="43">
                  <c:v>0.50482340146497429</c:v>
                </c:pt>
                <c:pt idx="44">
                  <c:v>0.50532231734928978</c:v>
                </c:pt>
                <c:pt idx="45">
                  <c:v>0.49967608072286385</c:v>
                </c:pt>
                <c:pt idx="46">
                  <c:v>0.49421497597738995</c:v>
                </c:pt>
                <c:pt idx="47">
                  <c:v>0.48892910233326298</c:v>
                </c:pt>
                <c:pt idx="48">
                  <c:v>0.50396825396825407</c:v>
                </c:pt>
                <c:pt idx="49">
                  <c:v>0.50396825396825384</c:v>
                </c:pt>
                <c:pt idx="50">
                  <c:v>0.50396825396825395</c:v>
                </c:pt>
                <c:pt idx="51">
                  <c:v>0.50396825396825395</c:v>
                </c:pt>
                <c:pt idx="52">
                  <c:v>0.50396825396825395</c:v>
                </c:pt>
                <c:pt idx="53">
                  <c:v>0.50396825396825395</c:v>
                </c:pt>
                <c:pt idx="54">
                  <c:v>0.50396825396825407</c:v>
                </c:pt>
                <c:pt idx="55">
                  <c:v>0.50396825396825395</c:v>
                </c:pt>
                <c:pt idx="56">
                  <c:v>0.50396825396825395</c:v>
                </c:pt>
                <c:pt idx="57">
                  <c:v>0.50396825396825407</c:v>
                </c:pt>
                <c:pt idx="58">
                  <c:v>0.50396825396825395</c:v>
                </c:pt>
                <c:pt idx="59">
                  <c:v>0.50396825396825395</c:v>
                </c:pt>
                <c:pt idx="60">
                  <c:v>0.50396825396825418</c:v>
                </c:pt>
                <c:pt idx="61">
                  <c:v>0.50396825396825395</c:v>
                </c:pt>
                <c:pt idx="62">
                  <c:v>0.50396825396825395</c:v>
                </c:pt>
                <c:pt idx="63">
                  <c:v>0.50396825396825407</c:v>
                </c:pt>
                <c:pt idx="64">
                  <c:v>0.50396825396825395</c:v>
                </c:pt>
                <c:pt idx="65">
                  <c:v>0.50396825396825395</c:v>
                </c:pt>
                <c:pt idx="66">
                  <c:v>0.50396825396825395</c:v>
                </c:pt>
                <c:pt idx="67">
                  <c:v>0.50396825396825395</c:v>
                </c:pt>
                <c:pt idx="68">
                  <c:v>0.50396825396825395</c:v>
                </c:pt>
                <c:pt idx="69">
                  <c:v>0.50396825396825407</c:v>
                </c:pt>
                <c:pt idx="70">
                  <c:v>0.50396825396825384</c:v>
                </c:pt>
                <c:pt idx="71">
                  <c:v>0.50396825396825395</c:v>
                </c:pt>
                <c:pt idx="72">
                  <c:v>0.50396825396825395</c:v>
                </c:pt>
                <c:pt idx="73">
                  <c:v>0.50396825396825395</c:v>
                </c:pt>
                <c:pt idx="74">
                  <c:v>0.50396825396825395</c:v>
                </c:pt>
                <c:pt idx="75">
                  <c:v>0.50396825396825407</c:v>
                </c:pt>
                <c:pt idx="76">
                  <c:v>0.50396825396825395</c:v>
                </c:pt>
                <c:pt idx="77">
                  <c:v>0.50396825396825395</c:v>
                </c:pt>
                <c:pt idx="78">
                  <c:v>0.50396825396825407</c:v>
                </c:pt>
                <c:pt idx="79">
                  <c:v>0.50396825396825395</c:v>
                </c:pt>
                <c:pt idx="80">
                  <c:v>0.50396825396825384</c:v>
                </c:pt>
                <c:pt idx="81">
                  <c:v>0.50396825396825407</c:v>
                </c:pt>
                <c:pt idx="82">
                  <c:v>0.50396825396825395</c:v>
                </c:pt>
                <c:pt idx="83">
                  <c:v>0.50396825396825384</c:v>
                </c:pt>
                <c:pt idx="84">
                  <c:v>0.50396825396825395</c:v>
                </c:pt>
                <c:pt idx="85">
                  <c:v>0.50396825396825395</c:v>
                </c:pt>
                <c:pt idx="86">
                  <c:v>0.50396825396825395</c:v>
                </c:pt>
                <c:pt idx="87">
                  <c:v>0.50396825396825407</c:v>
                </c:pt>
                <c:pt idx="88">
                  <c:v>0.50396825396825407</c:v>
                </c:pt>
                <c:pt idx="89">
                  <c:v>0.50396825396825384</c:v>
                </c:pt>
                <c:pt idx="90">
                  <c:v>0.50396825396825407</c:v>
                </c:pt>
                <c:pt idx="91">
                  <c:v>0.50396825396825395</c:v>
                </c:pt>
                <c:pt idx="92">
                  <c:v>0.50396825396825395</c:v>
                </c:pt>
                <c:pt idx="93">
                  <c:v>0.50396825396825407</c:v>
                </c:pt>
                <c:pt idx="94">
                  <c:v>0.50396825396825395</c:v>
                </c:pt>
                <c:pt idx="95">
                  <c:v>0.50396825396825407</c:v>
                </c:pt>
                <c:pt idx="96">
                  <c:v>0.50396825396825407</c:v>
                </c:pt>
                <c:pt idx="97">
                  <c:v>0.50396825396825384</c:v>
                </c:pt>
                <c:pt idx="98">
                  <c:v>0.50396825396825384</c:v>
                </c:pt>
                <c:pt idx="99">
                  <c:v>0.50396825396825395</c:v>
                </c:pt>
                <c:pt idx="100">
                  <c:v>0.50396825396825395</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3.0000000000000002E-2</c:v>
                </c:pt>
                <c:pt idx="1">
                  <c:v>3.0103703703703702E-2</c:v>
                </c:pt>
                <c:pt idx="2">
                  <c:v>6.0207407407407404E-2</c:v>
                </c:pt>
                <c:pt idx="3">
                  <c:v>9.0311111111111106E-2</c:v>
                </c:pt>
                <c:pt idx="4">
                  <c:v>0.12041481481481481</c:v>
                </c:pt>
                <c:pt idx="5">
                  <c:v>0.15051851851851855</c:v>
                </c:pt>
                <c:pt idx="6">
                  <c:v>0.18062222222222221</c:v>
                </c:pt>
                <c:pt idx="7">
                  <c:v>0.21072592592592598</c:v>
                </c:pt>
                <c:pt idx="8">
                  <c:v>0.24082962962962962</c:v>
                </c:pt>
                <c:pt idx="9">
                  <c:v>0.27093333333333336</c:v>
                </c:pt>
                <c:pt idx="10">
                  <c:v>0.3010370370370371</c:v>
                </c:pt>
                <c:pt idx="11">
                  <c:v>0.33114074074074079</c:v>
                </c:pt>
                <c:pt idx="12">
                  <c:v>0.36124444444444442</c:v>
                </c:pt>
                <c:pt idx="13">
                  <c:v>0.39134814814814817</c:v>
                </c:pt>
                <c:pt idx="14">
                  <c:v>0.42145185185185197</c:v>
                </c:pt>
                <c:pt idx="15">
                  <c:v>0.45155555555555549</c:v>
                </c:pt>
                <c:pt idx="16">
                  <c:v>0.48165925925925923</c:v>
                </c:pt>
                <c:pt idx="17">
                  <c:v>0.51176296296296298</c:v>
                </c:pt>
                <c:pt idx="18">
                  <c:v>0.54186666666666672</c:v>
                </c:pt>
                <c:pt idx="19">
                  <c:v>0.57197037037037046</c:v>
                </c:pt>
                <c:pt idx="20">
                  <c:v>0.60207407407407421</c:v>
                </c:pt>
                <c:pt idx="21">
                  <c:v>0.63217777777777795</c:v>
                </c:pt>
                <c:pt idx="22">
                  <c:v>0.66228148148148158</c:v>
                </c:pt>
                <c:pt idx="23">
                  <c:v>0.69238518518518544</c:v>
                </c:pt>
                <c:pt idx="24">
                  <c:v>0.69304229195088674</c:v>
                </c:pt>
                <c:pt idx="25">
                  <c:v>0.69304229195088674</c:v>
                </c:pt>
                <c:pt idx="26">
                  <c:v>0.69304229195088685</c:v>
                </c:pt>
                <c:pt idx="27">
                  <c:v>0.69304229195088651</c:v>
                </c:pt>
                <c:pt idx="28">
                  <c:v>0.69304229195088674</c:v>
                </c:pt>
                <c:pt idx="29">
                  <c:v>0.69304229195088674</c:v>
                </c:pt>
                <c:pt idx="30">
                  <c:v>0.69304229195088674</c:v>
                </c:pt>
                <c:pt idx="31">
                  <c:v>0.69304229195088685</c:v>
                </c:pt>
                <c:pt idx="32">
                  <c:v>0.69304229195088685</c:v>
                </c:pt>
                <c:pt idx="33">
                  <c:v>0.69304229195088674</c:v>
                </c:pt>
                <c:pt idx="34">
                  <c:v>0.69304229195088674</c:v>
                </c:pt>
                <c:pt idx="35">
                  <c:v>0.69304229195088674</c:v>
                </c:pt>
                <c:pt idx="36">
                  <c:v>0.69304229195088696</c:v>
                </c:pt>
                <c:pt idx="37">
                  <c:v>0.69304229195088685</c:v>
                </c:pt>
                <c:pt idx="38">
                  <c:v>0.69304229195088662</c:v>
                </c:pt>
                <c:pt idx="39">
                  <c:v>0.69304229195088674</c:v>
                </c:pt>
                <c:pt idx="40">
                  <c:v>0.69304229195088674</c:v>
                </c:pt>
                <c:pt idx="41">
                  <c:v>0.69304229195088674</c:v>
                </c:pt>
                <c:pt idx="42">
                  <c:v>0.69304229195088685</c:v>
                </c:pt>
                <c:pt idx="43">
                  <c:v>0.69304229195088685</c:v>
                </c:pt>
                <c:pt idx="44">
                  <c:v>0.69304229195088662</c:v>
                </c:pt>
                <c:pt idx="45">
                  <c:v>0.69304229195088685</c:v>
                </c:pt>
                <c:pt idx="46">
                  <c:v>0.69304229195088685</c:v>
                </c:pt>
                <c:pt idx="47">
                  <c:v>0.69304229195088685</c:v>
                </c:pt>
                <c:pt idx="48">
                  <c:v>0.69304229195088674</c:v>
                </c:pt>
                <c:pt idx="49">
                  <c:v>0.69304229195088685</c:v>
                </c:pt>
                <c:pt idx="50">
                  <c:v>0.69304229195088674</c:v>
                </c:pt>
                <c:pt idx="51">
                  <c:v>0.69304229195088685</c:v>
                </c:pt>
                <c:pt idx="52">
                  <c:v>0.69304229195088685</c:v>
                </c:pt>
                <c:pt idx="53">
                  <c:v>0.69304229195088685</c:v>
                </c:pt>
                <c:pt idx="54">
                  <c:v>0.69304229195088651</c:v>
                </c:pt>
                <c:pt idx="55">
                  <c:v>0.69304229195088674</c:v>
                </c:pt>
                <c:pt idx="56">
                  <c:v>0.69304229195088674</c:v>
                </c:pt>
                <c:pt idx="57">
                  <c:v>0.69304229195088674</c:v>
                </c:pt>
                <c:pt idx="58">
                  <c:v>0.69304229195088674</c:v>
                </c:pt>
                <c:pt idx="59">
                  <c:v>0.69304229195088662</c:v>
                </c:pt>
                <c:pt idx="60">
                  <c:v>0.69304229195088674</c:v>
                </c:pt>
                <c:pt idx="61">
                  <c:v>0.69304229195088685</c:v>
                </c:pt>
                <c:pt idx="62">
                  <c:v>0.69304229195088685</c:v>
                </c:pt>
                <c:pt idx="63">
                  <c:v>0.69304229195088674</c:v>
                </c:pt>
                <c:pt idx="64">
                  <c:v>0.69304229195088685</c:v>
                </c:pt>
                <c:pt idx="65">
                  <c:v>0.69304229195088685</c:v>
                </c:pt>
                <c:pt idx="66">
                  <c:v>0.69304229195088674</c:v>
                </c:pt>
                <c:pt idx="67">
                  <c:v>0.69304229195088685</c:v>
                </c:pt>
                <c:pt idx="68">
                  <c:v>0.69304229195088674</c:v>
                </c:pt>
                <c:pt idx="69">
                  <c:v>0.69304229195088674</c:v>
                </c:pt>
                <c:pt idx="70">
                  <c:v>0.69304229195088674</c:v>
                </c:pt>
                <c:pt idx="71">
                  <c:v>0.69304229195088674</c:v>
                </c:pt>
                <c:pt idx="72">
                  <c:v>0.69304229195088696</c:v>
                </c:pt>
                <c:pt idx="73">
                  <c:v>0.69304229195088685</c:v>
                </c:pt>
                <c:pt idx="74">
                  <c:v>0.69304229195088685</c:v>
                </c:pt>
                <c:pt idx="75">
                  <c:v>0.69304229195088685</c:v>
                </c:pt>
                <c:pt idx="76">
                  <c:v>0.69304229195088662</c:v>
                </c:pt>
                <c:pt idx="77">
                  <c:v>0.69304229195088674</c:v>
                </c:pt>
                <c:pt idx="78">
                  <c:v>0.69304229195088674</c:v>
                </c:pt>
                <c:pt idx="79">
                  <c:v>0.69304229195088685</c:v>
                </c:pt>
                <c:pt idx="80">
                  <c:v>0.69304229195088674</c:v>
                </c:pt>
                <c:pt idx="81">
                  <c:v>0.69304229195088685</c:v>
                </c:pt>
                <c:pt idx="82">
                  <c:v>0.69304229195088674</c:v>
                </c:pt>
                <c:pt idx="83">
                  <c:v>0.69304229195088674</c:v>
                </c:pt>
                <c:pt idx="84">
                  <c:v>0.69304229195088685</c:v>
                </c:pt>
                <c:pt idx="85">
                  <c:v>0.69304229195088674</c:v>
                </c:pt>
                <c:pt idx="86">
                  <c:v>0.69304229195088685</c:v>
                </c:pt>
                <c:pt idx="87">
                  <c:v>0.69304229195088674</c:v>
                </c:pt>
                <c:pt idx="88">
                  <c:v>0.69304229195088662</c:v>
                </c:pt>
                <c:pt idx="89">
                  <c:v>0.69304229195088685</c:v>
                </c:pt>
                <c:pt idx="90">
                  <c:v>0.69304229195088685</c:v>
                </c:pt>
                <c:pt idx="91">
                  <c:v>0.69304229195088674</c:v>
                </c:pt>
                <c:pt idx="92">
                  <c:v>0.69304229195088685</c:v>
                </c:pt>
                <c:pt idx="93">
                  <c:v>0.69304229195088662</c:v>
                </c:pt>
                <c:pt idx="94">
                  <c:v>0.69304229195088685</c:v>
                </c:pt>
                <c:pt idx="95">
                  <c:v>0.69304229195088685</c:v>
                </c:pt>
                <c:pt idx="96">
                  <c:v>0.69304229195088674</c:v>
                </c:pt>
                <c:pt idx="97">
                  <c:v>0.69304229195088674</c:v>
                </c:pt>
                <c:pt idx="98">
                  <c:v>0.69304229195088685</c:v>
                </c:pt>
                <c:pt idx="99">
                  <c:v>0.69304229195088674</c:v>
                </c:pt>
                <c:pt idx="100">
                  <c:v>0.69304229195088674</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1.2857142857142857E-2</c:v>
                </c:pt>
                <c:pt idx="1">
                  <c:v>1.2901587301587301E-2</c:v>
                </c:pt>
                <c:pt idx="2">
                  <c:v>2.5803174603174602E-2</c:v>
                </c:pt>
                <c:pt idx="3">
                  <c:v>3.8704761904761902E-2</c:v>
                </c:pt>
                <c:pt idx="4">
                  <c:v>5.1606349206349204E-2</c:v>
                </c:pt>
                <c:pt idx="5">
                  <c:v>6.4507936507936514E-2</c:v>
                </c:pt>
                <c:pt idx="6">
                  <c:v>7.7409523809523803E-2</c:v>
                </c:pt>
                <c:pt idx="7">
                  <c:v>9.0311111111111134E-2</c:v>
                </c:pt>
                <c:pt idx="8">
                  <c:v>0.10321269841269841</c:v>
                </c:pt>
                <c:pt idx="9">
                  <c:v>0.11611428571428571</c:v>
                </c:pt>
                <c:pt idx="10">
                  <c:v>0.12901587301587303</c:v>
                </c:pt>
                <c:pt idx="11">
                  <c:v>0.14191746031746036</c:v>
                </c:pt>
                <c:pt idx="12">
                  <c:v>0.15481904761904761</c:v>
                </c:pt>
                <c:pt idx="13">
                  <c:v>0.16772063492063491</c:v>
                </c:pt>
                <c:pt idx="14">
                  <c:v>0.18062222222222227</c:v>
                </c:pt>
                <c:pt idx="15">
                  <c:v>0.19352380952380949</c:v>
                </c:pt>
                <c:pt idx="16">
                  <c:v>0.20642539682539682</c:v>
                </c:pt>
                <c:pt idx="17">
                  <c:v>0.21932698412698415</c:v>
                </c:pt>
                <c:pt idx="18">
                  <c:v>0.23222857142857142</c:v>
                </c:pt>
                <c:pt idx="19">
                  <c:v>0.24513015873015875</c:v>
                </c:pt>
                <c:pt idx="20">
                  <c:v>0.25803174603174606</c:v>
                </c:pt>
                <c:pt idx="21">
                  <c:v>0.27093333333333336</c:v>
                </c:pt>
                <c:pt idx="22">
                  <c:v>0.28383492063492072</c:v>
                </c:pt>
                <c:pt idx="23">
                  <c:v>0.29673650793650802</c:v>
                </c:pt>
                <c:pt idx="24">
                  <c:v>0.30963809523809521</c:v>
                </c:pt>
                <c:pt idx="25">
                  <c:v>0.32253968253968257</c:v>
                </c:pt>
                <c:pt idx="26">
                  <c:v>0.33544126984126982</c:v>
                </c:pt>
                <c:pt idx="27">
                  <c:v>0.34834285714285723</c:v>
                </c:pt>
                <c:pt idx="28">
                  <c:v>0.36124444444444453</c:v>
                </c:pt>
                <c:pt idx="29">
                  <c:v>0.37414603174603178</c:v>
                </c:pt>
                <c:pt idx="30">
                  <c:v>0.38097618973218933</c:v>
                </c:pt>
                <c:pt idx="31">
                  <c:v>0.38727374346959326</c:v>
                </c:pt>
                <c:pt idx="32">
                  <c:v>0.39347051683582035</c:v>
                </c:pt>
                <c:pt idx="33">
                  <c:v>0.39957119873327063</c:v>
                </c:pt>
                <c:pt idx="34">
                  <c:v>0.40558012537011473</c:v>
                </c:pt>
                <c:pt idx="35">
                  <c:v>0.41150131632029247</c:v>
                </c:pt>
                <c:pt idx="36">
                  <c:v>0.41733850597737626</c:v>
                </c:pt>
                <c:pt idx="37">
                  <c:v>0.42309517110163736</c:v>
                </c:pt>
                <c:pt idx="38">
                  <c:v>0.42877455503751516</c:v>
                </c:pt>
                <c:pt idx="39">
                  <c:v>0.43437968908054886</c:v>
                </c:pt>
                <c:pt idx="40">
                  <c:v>0.43991341139343493</c:v>
                </c:pt>
                <c:pt idx="41">
                  <c:v>0.44537838380629202</c:v>
                </c:pt>
                <c:pt idx="42">
                  <c:v>0.45077710678338578</c:v>
                </c:pt>
                <c:pt idx="43">
                  <c:v>0.45611193279511475</c:v>
                </c:pt>
                <c:pt idx="44">
                  <c:v>0.46138507829815051</c:v>
                </c:pt>
                <c:pt idx="45">
                  <c:v>0.46659863449680788</c:v>
                </c:pt>
                <c:pt idx="46">
                  <c:v>0.46875603971846075</c:v>
                </c:pt>
                <c:pt idx="47">
                  <c:v>0.4637424619915354</c:v>
                </c:pt>
                <c:pt idx="48">
                  <c:v>0.45888638616438937</c:v>
                </c:pt>
                <c:pt idx="49">
                  <c:v>0.45417973470765366</c:v>
                </c:pt>
                <c:pt idx="50">
                  <c:v>0.49177153920619548</c:v>
                </c:pt>
                <c:pt idx="51">
                  <c:v>0.49177153920619554</c:v>
                </c:pt>
                <c:pt idx="52">
                  <c:v>0.49177153920619543</c:v>
                </c:pt>
                <c:pt idx="53">
                  <c:v>0.4917715392061956</c:v>
                </c:pt>
                <c:pt idx="54">
                  <c:v>0.49177153920619548</c:v>
                </c:pt>
                <c:pt idx="55">
                  <c:v>0.49177153920619554</c:v>
                </c:pt>
                <c:pt idx="56">
                  <c:v>0.49177153920619548</c:v>
                </c:pt>
                <c:pt idx="57">
                  <c:v>0.4917715392061956</c:v>
                </c:pt>
                <c:pt idx="58">
                  <c:v>0.49177153920619554</c:v>
                </c:pt>
                <c:pt idx="59">
                  <c:v>0.4917715392061956</c:v>
                </c:pt>
                <c:pt idx="60">
                  <c:v>0.49177153920619554</c:v>
                </c:pt>
                <c:pt idx="61">
                  <c:v>0.49177153920619565</c:v>
                </c:pt>
                <c:pt idx="62">
                  <c:v>0.4917715392061956</c:v>
                </c:pt>
                <c:pt idx="63">
                  <c:v>0.49177153920619543</c:v>
                </c:pt>
                <c:pt idx="64">
                  <c:v>0.49177153920619565</c:v>
                </c:pt>
                <c:pt idx="65">
                  <c:v>0.49177153920619554</c:v>
                </c:pt>
                <c:pt idx="66">
                  <c:v>0.49177153920619548</c:v>
                </c:pt>
                <c:pt idx="67">
                  <c:v>0.49177153920619548</c:v>
                </c:pt>
                <c:pt idx="68">
                  <c:v>0.49177153920619565</c:v>
                </c:pt>
                <c:pt idx="69">
                  <c:v>0.49177153920619554</c:v>
                </c:pt>
                <c:pt idx="70">
                  <c:v>0.49177153920619554</c:v>
                </c:pt>
                <c:pt idx="71">
                  <c:v>0.49177153920619537</c:v>
                </c:pt>
                <c:pt idx="72">
                  <c:v>0.4917715392061956</c:v>
                </c:pt>
                <c:pt idx="73">
                  <c:v>0.49177153920619554</c:v>
                </c:pt>
                <c:pt idx="74">
                  <c:v>0.49177153920619543</c:v>
                </c:pt>
                <c:pt idx="75">
                  <c:v>0.49177153920619554</c:v>
                </c:pt>
                <c:pt idx="76">
                  <c:v>0.4917715392061956</c:v>
                </c:pt>
                <c:pt idx="77">
                  <c:v>0.4917715392061956</c:v>
                </c:pt>
                <c:pt idx="78">
                  <c:v>0.4917715392061956</c:v>
                </c:pt>
                <c:pt idx="79">
                  <c:v>0.49177153920619554</c:v>
                </c:pt>
                <c:pt idx="80">
                  <c:v>0.49177153920619548</c:v>
                </c:pt>
                <c:pt idx="81">
                  <c:v>0.4917715392061956</c:v>
                </c:pt>
                <c:pt idx="82">
                  <c:v>0.4917715392061956</c:v>
                </c:pt>
                <c:pt idx="83">
                  <c:v>0.49177153920619554</c:v>
                </c:pt>
                <c:pt idx="84">
                  <c:v>0.49177153920619554</c:v>
                </c:pt>
                <c:pt idx="85">
                  <c:v>0.49177153920619554</c:v>
                </c:pt>
                <c:pt idx="86">
                  <c:v>0.49177153920619548</c:v>
                </c:pt>
                <c:pt idx="87">
                  <c:v>0.4917715392061956</c:v>
                </c:pt>
                <c:pt idx="88">
                  <c:v>0.49177153920619571</c:v>
                </c:pt>
                <c:pt idx="89">
                  <c:v>0.49177153920619554</c:v>
                </c:pt>
                <c:pt idx="90">
                  <c:v>0.49177153920619565</c:v>
                </c:pt>
                <c:pt idx="91">
                  <c:v>0.49177153920619565</c:v>
                </c:pt>
                <c:pt idx="92">
                  <c:v>0.4917715392061956</c:v>
                </c:pt>
                <c:pt idx="93">
                  <c:v>0.49177153920619548</c:v>
                </c:pt>
                <c:pt idx="94">
                  <c:v>0.49177153920619554</c:v>
                </c:pt>
                <c:pt idx="95">
                  <c:v>0.49177153920619554</c:v>
                </c:pt>
                <c:pt idx="96">
                  <c:v>0.49177153920619565</c:v>
                </c:pt>
                <c:pt idx="97">
                  <c:v>0.49177153920619554</c:v>
                </c:pt>
                <c:pt idx="98">
                  <c:v>0.49177153920619554</c:v>
                </c:pt>
                <c:pt idx="99">
                  <c:v>0.49177153920619548</c:v>
                </c:pt>
                <c:pt idx="100">
                  <c:v>0.49177153920619548</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Single'!$CD$5:$CD$105</c:f>
              <c:numCache>
                <c:formatCode>0.00</c:formatCode>
                <c:ptCount val="101"/>
                <c:pt idx="0">
                  <c:v>9.9617790012688953E-5</c:v>
                </c:pt>
                <c:pt idx="1">
                  <c:v>49.425264961519325</c:v>
                </c:pt>
                <c:pt idx="2">
                  <c:v>63.784973800901092</c:v>
                </c:pt>
                <c:pt idx="3">
                  <c:v>70.624565950097093</c:v>
                </c:pt>
                <c:pt idx="4">
                  <c:v>74.625560835799206</c:v>
                </c:pt>
                <c:pt idx="5">
                  <c:v>77.251398575435147</c:v>
                </c:pt>
                <c:pt idx="6">
                  <c:v>79.107073667619261</c:v>
                </c:pt>
                <c:pt idx="7">
                  <c:v>80.488081844156767</c:v>
                </c:pt>
                <c:pt idx="8">
                  <c:v>81.55589232175096</c:v>
                </c:pt>
                <c:pt idx="9">
                  <c:v>82.406196198149473</c:v>
                </c:pt>
                <c:pt idx="10">
                  <c:v>83.099305739859929</c:v>
                </c:pt>
                <c:pt idx="11">
                  <c:v>83.675121283840227</c:v>
                </c:pt>
                <c:pt idx="12">
                  <c:v>84.161092815169226</c:v>
                </c:pt>
                <c:pt idx="13">
                  <c:v>84.576724754333711</c:v>
                </c:pt>
                <c:pt idx="14">
                  <c:v>84.936256823760743</c:v>
                </c:pt>
                <c:pt idx="15">
                  <c:v>85.250328088017795</c:v>
                </c:pt>
                <c:pt idx="16">
                  <c:v>85.527047366121209</c:v>
                </c:pt>
                <c:pt idx="17">
                  <c:v>85.772703215900322</c:v>
                </c:pt>
                <c:pt idx="18">
                  <c:v>85.992247556654462</c:v>
                </c:pt>
                <c:pt idx="19">
                  <c:v>86.189632880156282</c:v>
                </c:pt>
                <c:pt idx="20">
                  <c:v>86.368052278131358</c:v>
                </c:pt>
                <c:pt idx="21">
                  <c:v>86.530113464725972</c:v>
                </c:pt>
                <c:pt idx="22">
                  <c:v>86.677967041765726</c:v>
                </c:pt>
                <c:pt idx="23">
                  <c:v>86.813402454059769</c:v>
                </c:pt>
                <c:pt idx="24">
                  <c:v>86.937920747505729</c:v>
                </c:pt>
                <c:pt idx="25">
                  <c:v>87.0527904191717</c:v>
                </c:pt>
                <c:pt idx="26">
                  <c:v>87.159090772497819</c:v>
                </c:pt>
                <c:pt idx="27">
                  <c:v>87.13658694207308</c:v>
                </c:pt>
                <c:pt idx="28">
                  <c:v>87.089066504158012</c:v>
                </c:pt>
                <c:pt idx="29">
                  <c:v>87.040189472377321</c:v>
                </c:pt>
                <c:pt idx="30">
                  <c:v>87.219378259546559</c:v>
                </c:pt>
                <c:pt idx="31">
                  <c:v>87.403863708678614</c:v>
                </c:pt>
                <c:pt idx="32">
                  <c:v>87.578014427136637</c:v>
                </c:pt>
                <c:pt idx="33">
                  <c:v>87.742698128556043</c:v>
                </c:pt>
                <c:pt idx="34">
                  <c:v>87.898687262730746</c:v>
                </c:pt>
                <c:pt idx="35">
                  <c:v>88.046671790503424</c:v>
                </c:pt>
                <c:pt idx="36">
                  <c:v>88.187269951905819</c:v>
                </c:pt>
                <c:pt idx="37">
                  <c:v>88.32103738648965</c:v>
                </c:pt>
                <c:pt idx="38">
                  <c:v>88.448474893164715</c:v>
                </c:pt>
                <c:pt idx="39">
                  <c:v>88.570035060936647</c:v>
                </c:pt>
                <c:pt idx="40">
                  <c:v>88.686127957977632</c:v>
                </c:pt>
                <c:pt idx="41">
                  <c:v>88.797126031688549</c:v>
                </c:pt>
                <c:pt idx="42">
                  <c:v>88.903368344736265</c:v>
                </c:pt>
                <c:pt idx="43">
                  <c:v>89.00516424989884</c:v>
                </c:pt>
                <c:pt idx="44">
                  <c:v>89.16332185066733</c:v>
                </c:pt>
                <c:pt idx="45">
                  <c:v>89.382376732740624</c:v>
                </c:pt>
                <c:pt idx="46">
                  <c:v>89.589717328470428</c:v>
                </c:pt>
                <c:pt idx="47">
                  <c:v>89.786188495699349</c:v>
                </c:pt>
                <c:pt idx="48">
                  <c:v>89.649621245672861</c:v>
                </c:pt>
                <c:pt idx="49">
                  <c:v>89.745069652942476</c:v>
                </c:pt>
                <c:pt idx="50">
                  <c:v>89.833381439774101</c:v>
                </c:pt>
                <c:pt idx="51">
                  <c:v>89.915059489162687</c:v>
                </c:pt>
                <c:pt idx="52">
                  <c:v>89.990563062253258</c:v>
                </c:pt>
                <c:pt idx="53">
                  <c:v>90.06031225521258</c:v>
                </c:pt>
                <c:pt idx="54">
                  <c:v>90.124691936294226</c:v>
                </c:pt>
                <c:pt idx="55">
                  <c:v>90.184055230767072</c:v>
                </c:pt>
                <c:pt idx="56">
                  <c:v>90.238726611709467</c:v>
                </c:pt>
                <c:pt idx="57">
                  <c:v>90.28900464649918</c:v>
                </c:pt>
                <c:pt idx="58">
                  <c:v>90.335164441904652</c:v>
                </c:pt>
                <c:pt idx="59">
                  <c:v>90.377459824802315</c:v>
                </c:pt>
                <c:pt idx="60">
                  <c:v>90.416125290538673</c:v>
                </c:pt>
                <c:pt idx="61">
                  <c:v>90.451377746684969</c:v>
                </c:pt>
                <c:pt idx="62">
                  <c:v>90.483418076280515</c:v>
                </c:pt>
                <c:pt idx="63">
                  <c:v>90.512432541531695</c:v>
                </c:pt>
                <c:pt idx="64">
                  <c:v>90.538594046247027</c:v>
                </c:pt>
                <c:pt idx="65">
                  <c:v>90.562063272975905</c:v>
                </c:pt>
                <c:pt idx="66">
                  <c:v>90.582989708826346</c:v>
                </c:pt>
                <c:pt idx="67">
                  <c:v>90.601512572213664</c:v>
                </c:pt>
                <c:pt idx="68">
                  <c:v>90.617761651302075</c:v>
                </c:pt>
                <c:pt idx="69">
                  <c:v>90.631858063608163</c:v>
                </c:pt>
                <c:pt idx="70">
                  <c:v>90.643914945111234</c:v>
                </c:pt>
                <c:pt idx="71">
                  <c:v>90.654038076238834</c:v>
                </c:pt>
                <c:pt idx="72">
                  <c:v>90.66232645124191</c:v>
                </c:pt>
                <c:pt idx="73">
                  <c:v>90.668872796730099</c:v>
                </c:pt>
                <c:pt idx="74">
                  <c:v>90.673764044485367</c:v>
                </c:pt>
                <c:pt idx="75">
                  <c:v>90.67708176310127</c:v>
                </c:pt>
                <c:pt idx="76">
                  <c:v>90.678902552493639</c:v>
                </c:pt>
                <c:pt idx="77">
                  <c:v>90.679298404887192</c:v>
                </c:pt>
                <c:pt idx="78">
                  <c:v>90.678337035494621</c:v>
                </c:pt>
                <c:pt idx="79">
                  <c:v>90.676082185761985</c:v>
                </c:pt>
                <c:pt idx="80">
                  <c:v>90.672593901751824</c:v>
                </c:pt>
                <c:pt idx="81">
                  <c:v>90.667928789967334</c:v>
                </c:pt>
                <c:pt idx="82">
                  <c:v>90.662140252684338</c:v>
                </c:pt>
                <c:pt idx="83">
                  <c:v>90.655278704647145</c:v>
                </c:pt>
                <c:pt idx="84">
                  <c:v>90.647391772797519</c:v>
                </c:pt>
                <c:pt idx="85">
                  <c:v>90.638524480539644</c:v>
                </c:pt>
                <c:pt idx="86">
                  <c:v>90.628719417896392</c:v>
                </c:pt>
                <c:pt idx="87">
                  <c:v>90.618016898779345</c:v>
                </c:pt>
                <c:pt idx="88">
                  <c:v>90.606455106477625</c:v>
                </c:pt>
                <c:pt idx="89">
                  <c:v>90.594070228365368</c:v>
                </c:pt>
                <c:pt idx="90">
                  <c:v>90.580896580732357</c:v>
                </c:pt>
                <c:pt idx="91">
                  <c:v>90.566966724558768</c:v>
                </c:pt>
                <c:pt idx="92">
                  <c:v>90.552311572978425</c:v>
                </c:pt>
                <c:pt idx="93">
                  <c:v>90.536960491106896</c:v>
                </c:pt>
                <c:pt idx="94">
                  <c:v>90.520941388849735</c:v>
                </c:pt>
                <c:pt idx="95">
                  <c:v>90.504280807250296</c:v>
                </c:pt>
                <c:pt idx="96">
                  <c:v>90.487003998887758</c:v>
                </c:pt>
                <c:pt idx="97">
                  <c:v>90.469135002789912</c:v>
                </c:pt>
                <c:pt idx="98">
                  <c:v>90.450696714285925</c:v>
                </c:pt>
                <c:pt idx="99">
                  <c:v>90.431710950186556</c:v>
                </c:pt>
                <c:pt idx="100">
                  <c:v>90.412198509646998</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5.6526453819999993</c:v>
                </c:pt>
                <c:pt idx="1">
                  <c:v>6.0343776000000027</c:v>
                </c:pt>
                <c:pt idx="2">
                  <c:v>6.3387551999999996</c:v>
                </c:pt>
                <c:pt idx="3">
                  <c:v>6.6431328000000009</c:v>
                </c:pt>
                <c:pt idx="4">
                  <c:v>6.9475104000000005</c:v>
                </c:pt>
                <c:pt idx="5">
                  <c:v>7.251888000000001</c:v>
                </c:pt>
                <c:pt idx="6">
                  <c:v>7.5562656000000015</c:v>
                </c:pt>
                <c:pt idx="7">
                  <c:v>7.8606432000000011</c:v>
                </c:pt>
                <c:pt idx="8">
                  <c:v>8.1650208000000006</c:v>
                </c:pt>
                <c:pt idx="9">
                  <c:v>8.4693984000000011</c:v>
                </c:pt>
                <c:pt idx="10">
                  <c:v>8.7737760000000016</c:v>
                </c:pt>
                <c:pt idx="11">
                  <c:v>9.078153600000002</c:v>
                </c:pt>
                <c:pt idx="12">
                  <c:v>9.3825312000000007</c:v>
                </c:pt>
                <c:pt idx="13">
                  <c:v>9.6869087999999994</c:v>
                </c:pt>
                <c:pt idx="14">
                  <c:v>9.9912864000000017</c:v>
                </c:pt>
                <c:pt idx="15">
                  <c:v>10.295664</c:v>
                </c:pt>
                <c:pt idx="16">
                  <c:v>10.600041600000001</c:v>
                </c:pt>
                <c:pt idx="17">
                  <c:v>10.904419200000001</c:v>
                </c:pt>
                <c:pt idx="18">
                  <c:v>11.2087968</c:v>
                </c:pt>
                <c:pt idx="19">
                  <c:v>11.513174400000002</c:v>
                </c:pt>
                <c:pt idx="20">
                  <c:v>11.817552000000004</c:v>
                </c:pt>
                <c:pt idx="21">
                  <c:v>12.121929600000001</c:v>
                </c:pt>
                <c:pt idx="22">
                  <c:v>12.4263072</c:v>
                </c:pt>
                <c:pt idx="23">
                  <c:v>12.730684800000001</c:v>
                </c:pt>
                <c:pt idx="24">
                  <c:v>13.035062400000001</c:v>
                </c:pt>
                <c:pt idx="25">
                  <c:v>13.339440000000003</c:v>
                </c:pt>
                <c:pt idx="26">
                  <c:v>13.643817600000002</c:v>
                </c:pt>
                <c:pt idx="27">
                  <c:v>14.030478090807657</c:v>
                </c:pt>
                <c:pt idx="28">
                  <c:v>14.422348990484741</c:v>
                </c:pt>
                <c:pt idx="29">
                  <c:v>14.802708179647306</c:v>
                </c:pt>
                <c:pt idx="30">
                  <c:v>15.260370540324757</c:v>
                </c:pt>
                <c:pt idx="31">
                  <c:v>15.7217207455581</c:v>
                </c:pt>
                <c:pt idx="32">
                  <c:v>16.18079931914469</c:v>
                </c:pt>
                <c:pt idx="33">
                  <c:v>16.637642045998035</c:v>
                </c:pt>
                <c:pt idx="34">
                  <c:v>17.092283071212318</c:v>
                </c:pt>
                <c:pt idx="35">
                  <c:v>17.544755021611355</c:v>
                </c:pt>
                <c:pt idx="36">
                  <c:v>17.995089115045275</c:v>
                </c:pt>
                <c:pt idx="37">
                  <c:v>18.443315258978501</c:v>
                </c:pt>
                <c:pt idx="38">
                  <c:v>18.889462139681505</c:v>
                </c:pt>
                <c:pt idx="39">
                  <c:v>19.333557303147494</c:v>
                </c:pt>
                <c:pt idx="40">
                  <c:v>19.775627228695633</c:v>
                </c:pt>
                <c:pt idx="41">
                  <c:v>20.215697396089467</c:v>
                </c:pt>
                <c:pt idx="42">
                  <c:v>20.653792346887201</c:v>
                </c:pt>
                <c:pt idx="43">
                  <c:v>21.089935740645881</c:v>
                </c:pt>
                <c:pt idx="44">
                  <c:v>21.575590924773493</c:v>
                </c:pt>
                <c:pt idx="45">
                  <c:v>22.121599160850486</c:v>
                </c:pt>
                <c:pt idx="46">
                  <c:v>22.66821554184088</c:v>
                </c:pt>
                <c:pt idx="47">
                  <c:v>23.215420341195589</c:v>
                </c:pt>
                <c:pt idx="48">
                  <c:v>23.994908384483438</c:v>
                </c:pt>
                <c:pt idx="49">
                  <c:v>24.615152357267682</c:v>
                </c:pt>
                <c:pt idx="50">
                  <c:v>25.240308576913453</c:v>
                </c:pt>
                <c:pt idx="51">
                  <c:v>25.870377043420756</c:v>
                </c:pt>
                <c:pt idx="52">
                  <c:v>26.505357756789589</c:v>
                </c:pt>
                <c:pt idx="53">
                  <c:v>27.145250717019959</c:v>
                </c:pt>
                <c:pt idx="54">
                  <c:v>27.790055924111854</c:v>
                </c:pt>
                <c:pt idx="55">
                  <c:v>28.439773378065283</c:v>
                </c:pt>
                <c:pt idx="56">
                  <c:v>29.094403078880237</c:v>
                </c:pt>
                <c:pt idx="57">
                  <c:v>29.753945026556714</c:v>
                </c:pt>
                <c:pt idx="58">
                  <c:v>30.418399221094738</c:v>
                </c:pt>
                <c:pt idx="59">
                  <c:v>31.087765662494284</c:v>
                </c:pt>
                <c:pt idx="60">
                  <c:v>31.762044350755364</c:v>
                </c:pt>
                <c:pt idx="61">
                  <c:v>32.44123528587798</c:v>
                </c:pt>
                <c:pt idx="62">
                  <c:v>33.125338467862129</c:v>
                </c:pt>
                <c:pt idx="63">
                  <c:v>33.8143538967078</c:v>
                </c:pt>
                <c:pt idx="64">
                  <c:v>34.508281572415001</c:v>
                </c:pt>
                <c:pt idx="65">
                  <c:v>35.207121494983738</c:v>
                </c:pt>
                <c:pt idx="66">
                  <c:v>35.910873664414005</c:v>
                </c:pt>
                <c:pt idx="67">
                  <c:v>36.619538080705794</c:v>
                </c:pt>
                <c:pt idx="68">
                  <c:v>37.333114743859127</c:v>
                </c:pt>
                <c:pt idx="69">
                  <c:v>38.051603653873975</c:v>
                </c:pt>
                <c:pt idx="70">
                  <c:v>38.775004810750367</c:v>
                </c:pt>
                <c:pt idx="71">
                  <c:v>39.503318214488282</c:v>
                </c:pt>
                <c:pt idx="72">
                  <c:v>40.236543865087739</c:v>
                </c:pt>
                <c:pt idx="73">
                  <c:v>40.97468176254872</c:v>
                </c:pt>
                <c:pt idx="74">
                  <c:v>41.717731906871229</c:v>
                </c:pt>
                <c:pt idx="75">
                  <c:v>42.465694298055276</c:v>
                </c:pt>
                <c:pt idx="76">
                  <c:v>43.218568936100844</c:v>
                </c:pt>
                <c:pt idx="77">
                  <c:v>43.976355821007957</c:v>
                </c:pt>
                <c:pt idx="78">
                  <c:v>44.739054952776584</c:v>
                </c:pt>
                <c:pt idx="79">
                  <c:v>45.506666331406755</c:v>
                </c:pt>
                <c:pt idx="80">
                  <c:v>46.279189956898449</c:v>
                </c:pt>
                <c:pt idx="81">
                  <c:v>47.056625829251672</c:v>
                </c:pt>
                <c:pt idx="82">
                  <c:v>47.838973948466418</c:v>
                </c:pt>
                <c:pt idx="83">
                  <c:v>48.626234314542707</c:v>
                </c:pt>
                <c:pt idx="84">
                  <c:v>49.418406927480532</c:v>
                </c:pt>
                <c:pt idx="85">
                  <c:v>50.215491787279873</c:v>
                </c:pt>
                <c:pt idx="86">
                  <c:v>51.017488893940758</c:v>
                </c:pt>
                <c:pt idx="87">
                  <c:v>51.824398247463172</c:v>
                </c:pt>
                <c:pt idx="88">
                  <c:v>52.636219847847109</c:v>
                </c:pt>
                <c:pt idx="89">
                  <c:v>53.452953695092596</c:v>
                </c:pt>
                <c:pt idx="90">
                  <c:v>54.274599789199591</c:v>
                </c:pt>
                <c:pt idx="91">
                  <c:v>55.101158130168137</c:v>
                </c:pt>
                <c:pt idx="92">
                  <c:v>55.932628717998192</c:v>
                </c:pt>
                <c:pt idx="93">
                  <c:v>56.769011552689783</c:v>
                </c:pt>
                <c:pt idx="94">
                  <c:v>57.610306634242903</c:v>
                </c:pt>
                <c:pt idx="95">
                  <c:v>58.45651396265756</c:v>
                </c:pt>
                <c:pt idx="96">
                  <c:v>59.307633537933746</c:v>
                </c:pt>
                <c:pt idx="97">
                  <c:v>60.163665360071469</c:v>
                </c:pt>
                <c:pt idx="98">
                  <c:v>61.024609429070715</c:v>
                </c:pt>
                <c:pt idx="99">
                  <c:v>61.890465744931497</c:v>
                </c:pt>
                <c:pt idx="100">
                  <c:v>62.761234307653815</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7.3290209212420061</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31.88594816708898</c:v>
                </c:pt>
                <c:pt idx="18">
                  <c:v>33.420596940308066</c:v>
                </c:pt>
                <c:pt idx="19">
                  <c:v>34.955265853146393</c:v>
                </c:pt>
                <c:pt idx="20">
                  <c:v>36.489954906000428</c:v>
                </c:pt>
                <c:pt idx="21">
                  <c:v>38.024664099266595</c:v>
                </c:pt>
                <c:pt idx="22">
                  <c:v>39.559393433341405</c:v>
                </c:pt>
                <c:pt idx="23">
                  <c:v>41.094142908621308</c:v>
                </c:pt>
                <c:pt idx="24">
                  <c:v>42.628912525502791</c:v>
                </c:pt>
                <c:pt idx="25">
                  <c:v>44.163702284382396</c:v>
                </c:pt>
                <c:pt idx="26">
                  <c:v>45.698512185656597</c:v>
                </c:pt>
                <c:pt idx="27">
                  <c:v>47.443403951849362</c:v>
                </c:pt>
                <c:pt idx="28">
                  <c:v>49.243144928704808</c:v>
                </c:pt>
                <c:pt idx="29">
                  <c:v>51.059080116244594</c:v>
                </c:pt>
                <c:pt idx="30">
                  <c:v>51.424998984830829</c:v>
                </c:pt>
                <c:pt idx="31">
                  <c:v>51.685660318086434</c:v>
                </c:pt>
                <c:pt idx="32">
                  <c:v>51.944520187483022</c:v>
                </c:pt>
                <c:pt idx="33">
                  <c:v>52.201699443459717</c:v>
                </c:pt>
                <c:pt idx="34">
                  <c:v>52.457309301560358</c:v>
                </c:pt>
                <c:pt idx="35">
                  <c:v>52.711452351646329</c:v>
                </c:pt>
                <c:pt idx="36">
                  <c:v>52.964223436484502</c:v>
                </c:pt>
                <c:pt idx="37">
                  <c:v>53.215710419707975</c:v>
                </c:pt>
                <c:pt idx="38">
                  <c:v>53.465994859635586</c:v>
                </c:pt>
                <c:pt idx="39">
                  <c:v>53.715152602615532</c:v>
                </c:pt>
                <c:pt idx="40">
                  <c:v>53.96325430728028</c:v>
                </c:pt>
                <c:pt idx="41">
                  <c:v>54.210365909248303</c:v>
                </c:pt>
                <c:pt idx="42">
                  <c:v>54.456549034294675</c:v>
                </c:pt>
                <c:pt idx="43">
                  <c:v>54.70186136676957</c:v>
                </c:pt>
                <c:pt idx="44">
                  <c:v>54.432470466327047</c:v>
                </c:pt>
                <c:pt idx="45">
                  <c:v>53.587111026863319</c:v>
                </c:pt>
                <c:pt idx="46">
                  <c:v>52.77781216558391</c:v>
                </c:pt>
                <c:pt idx="47">
                  <c:v>52.002313764221597</c:v>
                </c:pt>
                <c:pt idx="48">
                  <c:v>52.148302704882909</c:v>
                </c:pt>
                <c:pt idx="49">
                  <c:v>51.66709148049928</c:v>
                </c:pt>
                <c:pt idx="50">
                  <c:v>51.212807158277982</c:v>
                </c:pt>
                <c:pt idx="51">
                  <c:v>50.784019726790625</c:v>
                </c:pt>
                <c:pt idx="52">
                  <c:v>50.379409207311539</c:v>
                </c:pt>
                <c:pt idx="53">
                  <c:v>49.997755274002721</c:v>
                </c:pt>
                <c:pt idx="54">
                  <c:v>49.637928027411789</c:v>
                </c:pt>
                <c:pt idx="55">
                  <c:v>49.298879774497934</c:v>
                </c:pt>
                <c:pt idx="56">
                  <c:v>48.979637689369412</c:v>
                </c:pt>
                <c:pt idx="57">
                  <c:v>48.679297246575452</c:v>
                </c:pt>
                <c:pt idx="58">
                  <c:v>48.397016333712919</c:v>
                </c:pt>
                <c:pt idx="59">
                  <c:v>48.13200996275139</c:v>
                </c:pt>
                <c:pt idx="60">
                  <c:v>47.883545510225801</c:v>
                </c:pt>
                <c:pt idx="61">
                  <c:v>47.650938425607329</c:v>
                </c:pt>
                <c:pt idx="62">
                  <c:v>47.433548354993441</c:v>
                </c:pt>
                <c:pt idx="63">
                  <c:v>47.230775633970481</c:v>
                </c:pt>
                <c:pt idx="64">
                  <c:v>47.04205810927094</c:v>
                </c:pt>
                <c:pt idx="65">
                  <c:v>46.866868253816143</c:v>
                </c:pt>
                <c:pt idx="66">
                  <c:v>46.704710544028387</c:v>
                </c:pt>
                <c:pt idx="67">
                  <c:v>46.555119072010733</c:v>
                </c:pt>
                <c:pt idx="68">
                  <c:v>46.41765536841713</c:v>
                </c:pt>
                <c:pt idx="69">
                  <c:v>46.291906414638589</c:v>
                </c:pt>
                <c:pt idx="70">
                  <c:v>46.17748282537341</c:v>
                </c:pt>
                <c:pt idx="71">
                  <c:v>46.074017184783699</c:v>
                </c:pt>
                <c:pt idx="72">
                  <c:v>45.981162521305322</c:v>
                </c:pt>
                <c:pt idx="73">
                  <c:v>45.898590907816725</c:v>
                </c:pt>
                <c:pt idx="74">
                  <c:v>45.825992175307434</c:v>
                </c:pt>
                <c:pt idx="75">
                  <c:v>45.763072729453576</c:v>
                </c:pt>
                <c:pt idx="76">
                  <c:v>45.709554460621995</c:v>
                </c:pt>
                <c:pt idx="77">
                  <c:v>45.66517373880918</c:v>
                </c:pt>
                <c:pt idx="78">
                  <c:v>45.629680485893047</c:v>
                </c:pt>
                <c:pt idx="79">
                  <c:v>45.602837318346815</c:v>
                </c:pt>
                <c:pt idx="80">
                  <c:v>45.58441875424964</c:v>
                </c:pt>
                <c:pt idx="81">
                  <c:v>45.574210479037546</c:v>
                </c:pt>
                <c:pt idx="82">
                  <c:v>45.572008664980075</c:v>
                </c:pt>
                <c:pt idx="83">
                  <c:v>45.577619339851722</c:v>
                </c:pt>
                <c:pt idx="84">
                  <c:v>45.590857800698657</c:v>
                </c:pt>
                <c:pt idx="85">
                  <c:v>45.611548068986735</c:v>
                </c:pt>
                <c:pt idx="86">
                  <c:v>45.639522383762873</c:v>
                </c:pt>
                <c:pt idx="87">
                  <c:v>45.674620729770957</c:v>
                </c:pt>
                <c:pt idx="88">
                  <c:v>45.716690397742127</c:v>
                </c:pt>
                <c:pt idx="89">
                  <c:v>45.765585574328504</c:v>
                </c:pt>
                <c:pt idx="90">
                  <c:v>45.821166959375148</c:v>
                </c:pt>
                <c:pt idx="91">
                  <c:v>45.883301408426952</c:v>
                </c:pt>
                <c:pt idx="92">
                  <c:v>45.951861598550728</c:v>
                </c:pt>
                <c:pt idx="93">
                  <c:v>46.026725715717362</c:v>
                </c:pt>
                <c:pt idx="94">
                  <c:v>46.107777162138611</c:v>
                </c:pt>
                <c:pt idx="95">
                  <c:v>46.194904282088139</c:v>
                </c:pt>
                <c:pt idx="96">
                  <c:v>46.288000104859194</c:v>
                </c:pt>
                <c:pt idx="97">
                  <c:v>46.386962103621848</c:v>
                </c:pt>
                <c:pt idx="98">
                  <c:v>46.49169196904456</c:v>
                </c:pt>
                <c:pt idx="99">
                  <c:v>46.602095396635882</c:v>
                </c:pt>
                <c:pt idx="100">
                  <c:v>46.718081886845894</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7.0950489841524185</c:v>
                </c:pt>
                <c:pt idx="1">
                  <c:v>7.0964505536513496</c:v>
                </c:pt>
                <c:pt idx="2">
                  <c:v>7.5033061567839514</c:v>
                </c:pt>
                <c:pt idx="3">
                  <c:v>7.9101617599461989</c:v>
                </c:pt>
                <c:pt idx="4">
                  <c:v>8.3170173631380813</c:v>
                </c:pt>
                <c:pt idx="5">
                  <c:v>8.723872966359604</c:v>
                </c:pt>
                <c:pt idx="6">
                  <c:v>9.1307285696107652</c:v>
                </c:pt>
                <c:pt idx="7">
                  <c:v>9.5375841728915685</c:v>
                </c:pt>
                <c:pt idx="8">
                  <c:v>9.9444397762020085</c:v>
                </c:pt>
                <c:pt idx="9">
                  <c:v>10.351295379542089</c:v>
                </c:pt>
                <c:pt idx="10">
                  <c:v>10.758150982911809</c:v>
                </c:pt>
                <c:pt idx="11">
                  <c:v>11.165006586311167</c:v>
                </c:pt>
                <c:pt idx="12">
                  <c:v>11.571862189740163</c:v>
                </c:pt>
                <c:pt idx="13">
                  <c:v>11.978717793198804</c:v>
                </c:pt>
                <c:pt idx="14">
                  <c:v>12.385573396687079</c:v>
                </c:pt>
                <c:pt idx="15">
                  <c:v>12.792429000204994</c:v>
                </c:pt>
                <c:pt idx="16">
                  <c:v>13.199284603752551</c:v>
                </c:pt>
                <c:pt idx="17">
                  <c:v>13.606140207329743</c:v>
                </c:pt>
                <c:pt idx="18">
                  <c:v>14.012995810936578</c:v>
                </c:pt>
                <c:pt idx="19">
                  <c:v>14.419851414573053</c:v>
                </c:pt>
                <c:pt idx="20">
                  <c:v>14.826707018239169</c:v>
                </c:pt>
                <c:pt idx="21">
                  <c:v>15.233562621934917</c:v>
                </c:pt>
                <c:pt idx="22">
                  <c:v>15.640418225660307</c:v>
                </c:pt>
                <c:pt idx="23">
                  <c:v>16.047273829415339</c:v>
                </c:pt>
                <c:pt idx="24">
                  <c:v>16.454129433200009</c:v>
                </c:pt>
                <c:pt idx="25">
                  <c:v>16.860985037014316</c:v>
                </c:pt>
                <c:pt idx="26">
                  <c:v>17.267840640858267</c:v>
                </c:pt>
                <c:pt idx="27">
                  <c:v>18.242839658851388</c:v>
                </c:pt>
                <c:pt idx="28">
                  <c:v>19.354373532556728</c:v>
                </c:pt>
                <c:pt idx="29">
                  <c:v>20.497055263457366</c:v>
                </c:pt>
                <c:pt idx="30">
                  <c:v>21.235149943036301</c:v>
                </c:pt>
                <c:pt idx="31">
                  <c:v>21.943411558625137</c:v>
                </c:pt>
                <c:pt idx="32">
                  <c:v>22.651695919394303</c:v>
                </c:pt>
                <c:pt idx="33">
                  <c:v>23.360002817235763</c:v>
                </c:pt>
                <c:pt idx="34">
                  <c:v>24.068332053638638</c:v>
                </c:pt>
                <c:pt idx="35">
                  <c:v>24.776683438977265</c:v>
                </c:pt>
                <c:pt idx="36">
                  <c:v>25.485056791871109</c:v>
                </c:pt>
                <c:pt idx="37">
                  <c:v>26.19345193860735</c:v>
                </c:pt>
                <c:pt idx="38">
                  <c:v>26.90186871261859</c:v>
                </c:pt>
                <c:pt idx="39">
                  <c:v>27.610306954008937</c:v>
                </c:pt>
                <c:pt idx="40">
                  <c:v>28.318766509123044</c:v>
                </c:pt>
                <c:pt idx="41">
                  <c:v>29.02724723015308</c:v>
                </c:pt>
                <c:pt idx="42">
                  <c:v>29.735748974779501</c:v>
                </c:pt>
                <c:pt idx="43">
                  <c:v>30.444271605841909</c:v>
                </c:pt>
                <c:pt idx="44">
                  <c:v>30.94484899265921</c:v>
                </c:pt>
                <c:pt idx="45">
                  <c:v>31.201189613967465</c:v>
                </c:pt>
                <c:pt idx="46">
                  <c:v>31.457536043005927</c:v>
                </c:pt>
                <c:pt idx="47">
                  <c:v>31.713888395770606</c:v>
                </c:pt>
                <c:pt idx="48">
                  <c:v>34.692322469941956</c:v>
                </c:pt>
                <c:pt idx="49">
                  <c:v>35.699748922175907</c:v>
                </c:pt>
                <c:pt idx="50">
                  <c:v>36.718829896642241</c:v>
                </c:pt>
                <c:pt idx="51">
                  <c:v>37.749568255178943</c:v>
                </c:pt>
                <c:pt idx="52">
                  <c:v>38.791966918043371</c:v>
                </c:pt>
                <c:pt idx="53">
                  <c:v>39.846028863948696</c:v>
                </c:pt>
                <c:pt idx="54">
                  <c:v>40.91175713010098</c:v>
                </c:pt>
                <c:pt idx="55">
                  <c:v>41.989154812237125</c:v>
                </c:pt>
                <c:pt idx="56">
                  <c:v>43.078225064663457</c:v>
                </c:pt>
                <c:pt idx="57">
                  <c:v>44.178971100295136</c:v>
                </c:pt>
                <c:pt idx="58">
                  <c:v>45.291396190696219</c:v>
                </c:pt>
                <c:pt idx="59">
                  <c:v>46.415503666120514</c:v>
                </c:pt>
                <c:pt idx="60">
                  <c:v>47.551296915553138</c:v>
                </c:pt>
                <c:pt idx="61">
                  <c:v>48.698779386752918</c:v>
                </c:pt>
                <c:pt idx="62">
                  <c:v>49.857954586295357</c:v>
                </c:pt>
                <c:pt idx="63">
                  <c:v>51.028826079616508</c:v>
                </c:pt>
                <c:pt idx="64">
                  <c:v>52.211397491057561</c:v>
                </c:pt>
                <c:pt idx="65">
                  <c:v>53.405672503910068</c:v>
                </c:pt>
                <c:pt idx="66">
                  <c:v>54.611654860462075</c:v>
                </c:pt>
                <c:pt idx="67">
                  <c:v>55.829348362044826</c:v>
                </c:pt>
                <c:pt idx="68">
                  <c:v>57.058756869080433</c:v>
                </c:pt>
                <c:pt idx="69">
                  <c:v>58.299884301130078</c:v>
                </c:pt>
                <c:pt idx="70">
                  <c:v>59.552734636943093</c:v>
                </c:pt>
                <c:pt idx="71">
                  <c:v>60.817311914506774</c:v>
                </c:pt>
                <c:pt idx="72">
                  <c:v>62.093620231096935</c:v>
                </c:pt>
                <c:pt idx="73">
                  <c:v>63.381663743329248</c:v>
                </c:pt>
                <c:pt idx="74">
                  <c:v>64.681446667211233</c:v>
                </c:pt>
                <c:pt idx="75">
                  <c:v>65.992973278195223</c:v>
                </c:pt>
                <c:pt idx="76">
                  <c:v>67.316247911231727</c:v>
                </c:pt>
                <c:pt idx="77">
                  <c:v>68.651274960824082</c:v>
                </c:pt>
                <c:pt idx="78">
                  <c:v>69.998058881083253</c:v>
                </c:pt>
                <c:pt idx="79">
                  <c:v>71.356604185783937</c:v>
                </c:pt>
                <c:pt idx="80">
                  <c:v>72.726915448421025</c:v>
                </c:pt>
                <c:pt idx="81">
                  <c:v>74.10899730226717</c:v>
                </c:pt>
                <c:pt idx="82">
                  <c:v>75.502854440430809</c:v>
                </c:pt>
                <c:pt idx="83">
                  <c:v>76.908491615915182</c:v>
                </c:pt>
                <c:pt idx="84">
                  <c:v>78.325913641677971</c:v>
                </c:pt>
                <c:pt idx="85">
                  <c:v>79.755125390691845</c:v>
                </c:pt>
                <c:pt idx="86">
                  <c:v>81.196131796005659</c:v>
                </c:pt>
                <c:pt idx="87">
                  <c:v>82.648937850806462</c:v>
                </c:pt>
                <c:pt idx="88">
                  <c:v>84.11354860848239</c:v>
                </c:pt>
                <c:pt idx="89">
                  <c:v>85.589969182686076</c:v>
                </c:pt>
                <c:pt idx="90">
                  <c:v>87.078204747399127</c:v>
                </c:pt>
                <c:pt idx="91">
                  <c:v>88.578260536997263</c:v>
                </c:pt>
                <c:pt idx="92">
                  <c:v>90.090141846316143</c:v>
                </c:pt>
                <c:pt idx="93">
                  <c:v>91.613854030718116</c:v>
                </c:pt>
                <c:pt idx="94">
                  <c:v>93.149402506159575</c:v>
                </c:pt>
                <c:pt idx="95">
                  <c:v>94.696792749259544</c:v>
                </c:pt>
                <c:pt idx="96">
                  <c:v>96.256030297368341</c:v>
                </c:pt>
                <c:pt idx="97">
                  <c:v>97.827120748637682</c:v>
                </c:pt>
                <c:pt idx="98">
                  <c:v>99.410069762091169</c:v>
                </c:pt>
                <c:pt idx="99">
                  <c:v>101.00488305769579</c:v>
                </c:pt>
                <c:pt idx="100">
                  <c:v>102.6115664164341</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1.3953028857661509E-4</c:v>
                </c:pt>
                <c:pt idx="1">
                  <c:v>57.263984930404675</c:v>
                </c:pt>
                <c:pt idx="2">
                  <c:v>70.997771786303105</c:v>
                </c:pt>
                <c:pt idx="3">
                  <c:v>77.166807672241518</c:v>
                </c:pt>
                <c:pt idx="4">
                  <c:v>80.671599024796222</c:v>
                </c:pt>
                <c:pt idx="5">
                  <c:v>82.931561826487808</c:v>
                </c:pt>
                <c:pt idx="6">
                  <c:v>84.50988183785168</c:v>
                </c:pt>
                <c:pt idx="7">
                  <c:v>85.674535464916261</c:v>
                </c:pt>
                <c:pt idx="8">
                  <c:v>86.56930661788347</c:v>
                </c:pt>
                <c:pt idx="9">
                  <c:v>87.278262090541475</c:v>
                </c:pt>
                <c:pt idx="10">
                  <c:v>87.853837868091347</c:v>
                </c:pt>
                <c:pt idx="11">
                  <c:v>88.330436756056201</c:v>
                </c:pt>
                <c:pt idx="12">
                  <c:v>88.731566840206767</c:v>
                </c:pt>
                <c:pt idx="13">
                  <c:v>89.07383778856132</c:v>
                </c:pt>
                <c:pt idx="14">
                  <c:v>89.369318317389855</c:v>
                </c:pt>
                <c:pt idx="15">
                  <c:v>89.626988737851363</c:v>
                </c:pt>
                <c:pt idx="16">
                  <c:v>89.853669464448885</c:v>
                </c:pt>
                <c:pt idx="17">
                  <c:v>89.932824421501962</c:v>
                </c:pt>
                <c:pt idx="18">
                  <c:v>89.920854906537329</c:v>
                </c:pt>
                <c:pt idx="19">
                  <c:v>89.905777096295665</c:v>
                </c:pt>
                <c:pt idx="20">
                  <c:v>89.888194932393716</c:v>
                </c:pt>
                <c:pt idx="21">
                  <c:v>89.868591838048076</c:v>
                </c:pt>
                <c:pt idx="22">
                  <c:v>89.847358530548192</c:v>
                </c:pt>
                <c:pt idx="23">
                  <c:v>89.824813538889885</c:v>
                </c:pt>
                <c:pt idx="24">
                  <c:v>89.801218556732223</c:v>
                </c:pt>
                <c:pt idx="25">
                  <c:v>89.776790079839799</c:v>
                </c:pt>
                <c:pt idx="26">
                  <c:v>89.751708331400764</c:v>
                </c:pt>
                <c:pt idx="27">
                  <c:v>89.726124181192617</c:v>
                </c:pt>
                <c:pt idx="28">
                  <c:v>89.700164562644559</c:v>
                </c:pt>
                <c:pt idx="29">
                  <c:v>89.673936752551541</c:v>
                </c:pt>
                <c:pt idx="30">
                  <c:v>90.670884351720531</c:v>
                </c:pt>
                <c:pt idx="31">
                  <c:v>90.8899672682969</c:v>
                </c:pt>
                <c:pt idx="32">
                  <c:v>91.09170302849229</c:v>
                </c:pt>
                <c:pt idx="33">
                  <c:v>91.277927147336072</c:v>
                </c:pt>
                <c:pt idx="34">
                  <c:v>91.45023619330513</c:v>
                </c:pt>
                <c:pt idx="35">
                  <c:v>91.610024260685037</c:v>
                </c:pt>
                <c:pt idx="36">
                  <c:v>91.758513116371503</c:v>
                </c:pt>
                <c:pt idx="37">
                  <c:v>91.896777240309788</c:v>
                </c:pt>
                <c:pt idx="38">
                  <c:v>92.025764721900899</c:v>
                </c:pt>
                <c:pt idx="39">
                  <c:v>92.14631477623935</c:v>
                </c:pt>
                <c:pt idx="40">
                  <c:v>92.259172489799738</c:v>
                </c:pt>
                <c:pt idx="41">
                  <c:v>92.36500128462832</c:v>
                </c:pt>
                <c:pt idx="42">
                  <c:v>92.464393495345035</c:v>
                </c:pt>
                <c:pt idx="43">
                  <c:v>92.5578793784005</c:v>
                </c:pt>
                <c:pt idx="44">
                  <c:v>92.645934813584631</c:v>
                </c:pt>
                <c:pt idx="45">
                  <c:v>92.72898791034217</c:v>
                </c:pt>
                <c:pt idx="46">
                  <c:v>92.807424693410624</c:v>
                </c:pt>
                <c:pt idx="47">
                  <c:v>92.881594011656532</c:v>
                </c:pt>
                <c:pt idx="48">
                  <c:v>89.535137332869823</c:v>
                </c:pt>
                <c:pt idx="49">
                  <c:v>89.496242941840691</c:v>
                </c:pt>
                <c:pt idx="50">
                  <c:v>89.454792393982387</c:v>
                </c:pt>
                <c:pt idx="51">
                  <c:v>89.410978075576622</c:v>
                </c:pt>
                <c:pt idx="52">
                  <c:v>89.364975161069609</c:v>
                </c:pt>
                <c:pt idx="53">
                  <c:v>89.316943439233526</c:v>
                </c:pt>
                <c:pt idx="54">
                  <c:v>89.26702891618892</c:v>
                </c:pt>
                <c:pt idx="55">
                  <c:v>89.215365225980207</c:v>
                </c:pt>
                <c:pt idx="56">
                  <c:v>89.162074874724297</c:v>
                </c:pt>
                <c:pt idx="57">
                  <c:v>89.107270340456708</c:v>
                </c:pt>
                <c:pt idx="58">
                  <c:v>89.051055047541823</c:v>
                </c:pt>
                <c:pt idx="59">
                  <c:v>88.993524231780668</c:v>
                </c:pt>
                <c:pt idx="60">
                  <c:v>88.934765710048723</c:v>
                </c:pt>
                <c:pt idx="61">
                  <c:v>88.874860566355068</c:v>
                </c:pt>
                <c:pt idx="62">
                  <c:v>88.813883764571216</c:v>
                </c:pt>
                <c:pt idx="63">
                  <c:v>88.751904696682658</c:v>
                </c:pt>
                <c:pt idx="64">
                  <c:v>88.688987674230304</c:v>
                </c:pt>
                <c:pt idx="65">
                  <c:v>88.625192369595354</c:v>
                </c:pt>
                <c:pt idx="66">
                  <c:v>88.560574212916663</c:v>
                </c:pt>
                <c:pt idx="67">
                  <c:v>88.495184749686047</c:v>
                </c:pt>
                <c:pt idx="68">
                  <c:v>88.429071963429379</c:v>
                </c:pt>
                <c:pt idx="69">
                  <c:v>88.362280567332334</c:v>
                </c:pt>
                <c:pt idx="70">
                  <c:v>88.294852268194433</c:v>
                </c:pt>
                <c:pt idx="71">
                  <c:v>88.226826005685638</c:v>
                </c:pt>
                <c:pt idx="72">
                  <c:v>88.158238169523202</c:v>
                </c:pt>
                <c:pt idx="73">
                  <c:v>88.08912279687793</c:v>
                </c:pt>
                <c:pt idx="74">
                  <c:v>88.019511752050335</c:v>
                </c:pt>
                <c:pt idx="75">
                  <c:v>87.949434890221923</c:v>
                </c:pt>
                <c:pt idx="76">
                  <c:v>87.878920206882725</c:v>
                </c:pt>
                <c:pt idx="77">
                  <c:v>87.807993974356279</c:v>
                </c:pt>
                <c:pt idx="78">
                  <c:v>87.73668086668637</c:v>
                </c:pt>
                <c:pt idx="79">
                  <c:v>87.665004074011634</c:v>
                </c:pt>
                <c:pt idx="80">
                  <c:v>87.592985407432479</c:v>
                </c:pt>
                <c:pt idx="81">
                  <c:v>87.520645395267891</c:v>
                </c:pt>
                <c:pt idx="82">
                  <c:v>87.448003371505123</c:v>
                </c:pt>
                <c:pt idx="83">
                  <c:v>87.375077557161433</c:v>
                </c:pt>
                <c:pt idx="84">
                  <c:v>87.301885135203577</c:v>
                </c:pt>
                <c:pt idx="85">
                  <c:v>87.228442319604525</c:v>
                </c:pt>
                <c:pt idx="86">
                  <c:v>87.154764419059191</c:v>
                </c:pt>
                <c:pt idx="87">
                  <c:v>87.080865895828538</c:v>
                </c:pt>
                <c:pt idx="88">
                  <c:v>87.006760420136132</c:v>
                </c:pt>
                <c:pt idx="89">
                  <c:v>86.932460920498798</c:v>
                </c:pt>
                <c:pt idx="90">
                  <c:v>86.857979630337951</c:v>
                </c:pt>
                <c:pt idx="91">
                  <c:v>86.783328131183438</c:v>
                </c:pt>
                <c:pt idx="92">
                  <c:v>86.708517392754246</c:v>
                </c:pt>
                <c:pt idx="93">
                  <c:v>86.633557810172348</c:v>
                </c:pt>
                <c:pt idx="94">
                  <c:v>86.558459238543435</c:v>
                </c:pt>
                <c:pt idx="95">
                  <c:v>86.574252138553064</c:v>
                </c:pt>
                <c:pt idx="96">
                  <c:v>86.677449131243762</c:v>
                </c:pt>
                <c:pt idx="97">
                  <c:v>86.778771674668917</c:v>
                </c:pt>
                <c:pt idx="98">
                  <c:v>86.87827059888231</c:v>
                </c:pt>
                <c:pt idx="99">
                  <c:v>86.9759949081824</c:v>
                </c:pt>
                <c:pt idx="100">
                  <c:v>87.071991862464969</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11.286727304369089</c:v>
                </c:pt>
                <c:pt idx="1">
                  <c:v>12.024509752888893</c:v>
                </c:pt>
                <c:pt idx="2">
                  <c:v>12.633872562294505</c:v>
                </c:pt>
                <c:pt idx="3">
                  <c:v>13.243235371700118</c:v>
                </c:pt>
                <c:pt idx="4">
                  <c:v>13.852598181105732</c:v>
                </c:pt>
                <c:pt idx="5">
                  <c:v>14.461960990511342</c:v>
                </c:pt>
                <c:pt idx="6">
                  <c:v>15.071323799916959</c:v>
                </c:pt>
                <c:pt idx="7">
                  <c:v>15.680686609322571</c:v>
                </c:pt>
                <c:pt idx="8">
                  <c:v>16.290049418728184</c:v>
                </c:pt>
                <c:pt idx="9">
                  <c:v>16.899412228133798</c:v>
                </c:pt>
                <c:pt idx="10">
                  <c:v>17.508775037539412</c:v>
                </c:pt>
                <c:pt idx="11">
                  <c:v>18.118137846945025</c:v>
                </c:pt>
                <c:pt idx="12">
                  <c:v>18.727500656350635</c:v>
                </c:pt>
                <c:pt idx="13">
                  <c:v>19.336863465756249</c:v>
                </c:pt>
                <c:pt idx="14">
                  <c:v>19.946226275161866</c:v>
                </c:pt>
                <c:pt idx="15">
                  <c:v>20.555589084567476</c:v>
                </c:pt>
                <c:pt idx="16">
                  <c:v>21.16495189397309</c:v>
                </c:pt>
                <c:pt idx="17">
                  <c:v>22.043442787388429</c:v>
                </c:pt>
                <c:pt idx="18">
                  <c:v>23.077290103193356</c:v>
                </c:pt>
                <c:pt idx="19">
                  <c:v>24.074117152004273</c:v>
                </c:pt>
                <c:pt idx="20">
                  <c:v>25.032909241244791</c:v>
                </c:pt>
                <c:pt idx="21">
                  <c:v>25.952678065613974</c:v>
                </c:pt>
                <c:pt idx="22">
                  <c:v>26.832459748845814</c:v>
                </c:pt>
                <c:pt idx="23">
                  <c:v>27.671313116407276</c:v>
                </c:pt>
                <c:pt idx="24">
                  <c:v>28.468318162701934</c:v>
                </c:pt>
                <c:pt idx="25">
                  <c:v>29.222574683421264</c:v>
                </c:pt>
                <c:pt idx="26">
                  <c:v>29.933201049150135</c:v>
                </c:pt>
                <c:pt idx="27">
                  <c:v>30.599333100602969</c:v>
                </c:pt>
                <c:pt idx="28">
                  <c:v>31.220123149240024</c:v>
                </c:pt>
                <c:pt idx="29">
                  <c:v>31.794739069702796</c:v>
                </c:pt>
                <c:pt idx="30">
                  <c:v>34.832219724943627</c:v>
                </c:pt>
                <c:pt idx="31">
                  <c:v>36.143871201717552</c:v>
                </c:pt>
                <c:pt idx="32">
                  <c:v>37.457893199965092</c:v>
                </c:pt>
                <c:pt idx="33">
                  <c:v>38.774175428925282</c:v>
                </c:pt>
                <c:pt idx="34">
                  <c:v>40.092615893790402</c:v>
                </c:pt>
                <c:pt idx="35">
                  <c:v>41.413120047514923</c:v>
                </c:pt>
                <c:pt idx="36">
                  <c:v>42.735600050968579</c:v>
                </c:pt>
                <c:pt idx="37">
                  <c:v>44.059974124983611</c:v>
                </c:pt>
                <c:pt idx="38">
                  <c:v>45.386165980719724</c:v>
                </c:pt>
                <c:pt idx="39">
                  <c:v>46.714104317078466</c:v>
                </c:pt>
                <c:pt idx="40">
                  <c:v>48.04372237576613</c:v>
                </c:pt>
                <c:pt idx="41">
                  <c:v>49.374957546123682</c:v>
                </c:pt>
                <c:pt idx="42">
                  <c:v>50.707751013084653</c:v>
                </c:pt>
                <c:pt idx="43">
                  <c:v>52.042047442643657</c:v>
                </c:pt>
                <c:pt idx="44">
                  <c:v>53.377794700063816</c:v>
                </c:pt>
                <c:pt idx="45">
                  <c:v>54.714943596751418</c:v>
                </c:pt>
                <c:pt idx="46">
                  <c:v>56.053447662312188</c:v>
                </c:pt>
                <c:pt idx="47">
                  <c:v>57.393262938793534</c:v>
                </c:pt>
                <c:pt idx="48">
                  <c:v>73.198205449463373</c:v>
                </c:pt>
                <c:pt idx="49">
                  <c:v>75.499984064306219</c:v>
                </c:pt>
                <c:pt idx="50">
                  <c:v>77.833469454712841</c:v>
                </c:pt>
                <c:pt idx="51">
                  <c:v>80.198661620683254</c:v>
                </c:pt>
                <c:pt idx="52">
                  <c:v>82.595560562217429</c:v>
                </c:pt>
                <c:pt idx="53">
                  <c:v>85.024166279315367</c:v>
                </c:pt>
                <c:pt idx="54">
                  <c:v>87.484478771977081</c:v>
                </c:pt>
                <c:pt idx="55">
                  <c:v>89.976498040202586</c:v>
                </c:pt>
                <c:pt idx="56">
                  <c:v>92.500224083991824</c:v>
                </c:pt>
                <c:pt idx="57">
                  <c:v>95.055656903344797</c:v>
                </c:pt>
                <c:pt idx="58">
                  <c:v>97.642796498261603</c:v>
                </c:pt>
                <c:pt idx="59">
                  <c:v>100.26164286874217</c:v>
                </c:pt>
                <c:pt idx="60">
                  <c:v>102.91219601478652</c:v>
                </c:pt>
                <c:pt idx="61">
                  <c:v>105.59445593639461</c:v>
                </c:pt>
                <c:pt idx="62">
                  <c:v>108.30842263356649</c:v>
                </c:pt>
                <c:pt idx="63">
                  <c:v>111.05409610630214</c:v>
                </c:pt>
                <c:pt idx="64">
                  <c:v>113.83147635460159</c:v>
                </c:pt>
                <c:pt idx="65">
                  <c:v>116.64056337846472</c:v>
                </c:pt>
                <c:pt idx="66">
                  <c:v>119.48135717789174</c:v>
                </c:pt>
                <c:pt idx="67">
                  <c:v>122.35385775288239</c:v>
                </c:pt>
                <c:pt idx="68">
                  <c:v>125.25806510343693</c:v>
                </c:pt>
                <c:pt idx="69">
                  <c:v>128.19397922955517</c:v>
                </c:pt>
                <c:pt idx="70">
                  <c:v>131.16160013123715</c:v>
                </c:pt>
                <c:pt idx="71">
                  <c:v>134.16092780848297</c:v>
                </c:pt>
                <c:pt idx="72">
                  <c:v>137.19196226129253</c:v>
                </c:pt>
                <c:pt idx="73">
                  <c:v>140.25470348966596</c:v>
                </c:pt>
                <c:pt idx="74">
                  <c:v>143.34915149360299</c:v>
                </c:pt>
                <c:pt idx="75">
                  <c:v>146.47530627310397</c:v>
                </c:pt>
                <c:pt idx="76">
                  <c:v>149.63316782816864</c:v>
                </c:pt>
                <c:pt idx="77">
                  <c:v>152.82273615879706</c:v>
                </c:pt>
                <c:pt idx="78">
                  <c:v>156.04401126498922</c:v>
                </c:pt>
                <c:pt idx="79">
                  <c:v>159.29699314674522</c:v>
                </c:pt>
                <c:pt idx="80">
                  <c:v>162.58168180406497</c:v>
                </c:pt>
                <c:pt idx="81">
                  <c:v>165.89807723694838</c:v>
                </c:pt>
                <c:pt idx="82">
                  <c:v>169.24617944539571</c:v>
                </c:pt>
                <c:pt idx="83">
                  <c:v>172.62598842940679</c:v>
                </c:pt>
                <c:pt idx="84">
                  <c:v>176.03750418898156</c:v>
                </c:pt>
                <c:pt idx="85">
                  <c:v>179.48072672412019</c:v>
                </c:pt>
                <c:pt idx="86">
                  <c:v>182.95565603482251</c:v>
                </c:pt>
                <c:pt idx="87">
                  <c:v>186.46229212108867</c:v>
                </c:pt>
                <c:pt idx="88">
                  <c:v>190.00063498291851</c:v>
                </c:pt>
                <c:pt idx="89">
                  <c:v>193.57068462031225</c:v>
                </c:pt>
                <c:pt idx="90">
                  <c:v>197.17244103326968</c:v>
                </c:pt>
                <c:pt idx="91">
                  <c:v>200.80590422179091</c:v>
                </c:pt>
                <c:pt idx="92">
                  <c:v>204.47107418587586</c:v>
                </c:pt>
                <c:pt idx="93">
                  <c:v>208.16795092552465</c:v>
                </c:pt>
                <c:pt idx="94">
                  <c:v>211.89653444073704</c:v>
                </c:pt>
                <c:pt idx="95">
                  <c:v>214.51183343688976</c:v>
                </c:pt>
                <c:pt idx="96">
                  <c:v>216.01100968959409</c:v>
                </c:pt>
                <c:pt idx="97">
                  <c:v>217.50244748733422</c:v>
                </c:pt>
                <c:pt idx="98">
                  <c:v>218.98626837273571</c:v>
                </c:pt>
                <c:pt idx="99">
                  <c:v>220.46259135636399</c:v>
                </c:pt>
                <c:pt idx="100">
                  <c:v>221.93153298232076</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7.0741827125450438</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32.034761675380452</c:v>
                </c:pt>
                <c:pt idx="18">
                  <c:v>33.840613736239398</c:v>
                </c:pt>
                <c:pt idx="19">
                  <c:v>35.672148599732182</c:v>
                </c:pt>
                <c:pt idx="20">
                  <c:v>37.52921858102404</c:v>
                </c:pt>
                <c:pt idx="21">
                  <c:v>39.411701888703995</c:v>
                </c:pt>
                <c:pt idx="22">
                  <c:v>41.319499245009915</c:v>
                </c:pt>
                <c:pt idx="23">
                  <c:v>43.252531074131305</c:v>
                </c:pt>
                <c:pt idx="24">
                  <c:v>45.21073514352944</c:v>
                </c:pt>
                <c:pt idx="25">
                  <c:v>47.19406457029234</c:v>
                </c:pt>
                <c:pt idx="26">
                  <c:v>49.202486124421469</c:v>
                </c:pt>
                <c:pt idx="27">
                  <c:v>51.235978775747107</c:v>
                </c:pt>
                <c:pt idx="28">
                  <c:v>53.294532442324645</c:v>
                </c:pt>
                <c:pt idx="29">
                  <c:v>55.37814690667448</c:v>
                </c:pt>
                <c:pt idx="30">
                  <c:v>46.173491826284014</c:v>
                </c:pt>
                <c:pt idx="31">
                  <c:v>45.170301307199331</c:v>
                </c:pt>
                <c:pt idx="32">
                  <c:v>44.228747033440762</c:v>
                </c:pt>
                <c:pt idx="33">
                  <c:v>43.343327453059466</c:v>
                </c:pt>
                <c:pt idx="34">
                  <c:v>42.509180043412172</c:v>
                </c:pt>
                <c:pt idx="35">
                  <c:v>41.721990870281118</c:v>
                </c:pt>
                <c:pt idx="36">
                  <c:v>40.977919112731556</c:v>
                </c:pt>
                <c:pt idx="37">
                  <c:v>40.273533738484019</c:v>
                </c:pt>
                <c:pt idx="38">
                  <c:v>39.605760104488141</c:v>
                </c:pt>
                <c:pt idx="39">
                  <c:v>38.97183471169496</c:v>
                </c:pt>
                <c:pt idx="40">
                  <c:v>38.369266695520707</c:v>
                </c:pt>
                <c:pt idx="41">
                  <c:v>37.795804908927138</c:v>
                </c:pt>
                <c:pt idx="42">
                  <c:v>37.249409671694892</c:v>
                </c:pt>
                <c:pt idx="43">
                  <c:v>36.728228430961728</c:v>
                </c:pt>
                <c:pt idx="44">
                  <c:v>36.230574714660108</c:v>
                </c:pt>
                <c:pt idx="45">
                  <c:v>35.754909868856849</c:v>
                </c:pt>
                <c:pt idx="46">
                  <c:v>35.299827158058676</c:v>
                </c:pt>
                <c:pt idx="47">
                  <c:v>34.864037878819822</c:v>
                </c:pt>
                <c:pt idx="48">
                  <c:v>45.652715549249727</c:v>
                </c:pt>
                <c:pt idx="49">
                  <c:v>45.725927941428132</c:v>
                </c:pt>
                <c:pt idx="50">
                  <c:v>45.821166959375148</c:v>
                </c:pt>
                <c:pt idx="51">
                  <c:v>45.937641425225245</c:v>
                </c:pt>
                <c:pt idx="52">
                  <c:v>46.074621357657428</c:v>
                </c:pt>
                <c:pt idx="53">
                  <c:v>46.231432205402939</c:v>
                </c:pt>
                <c:pt idx="54">
                  <c:v>46.407449721483971</c:v>
                </c:pt>
                <c:pt idx="55">
                  <c:v>46.602095396635882</c:v>
                </c:pt>
                <c:pt idx="56">
                  <c:v>46.814832382015304</c:v>
                </c:pt>
                <c:pt idx="57">
                  <c:v>47.045161841106363</c:v>
                </c:pt>
                <c:pt idx="58">
                  <c:v>47.292619679025719</c:v>
                </c:pt>
                <c:pt idx="59">
                  <c:v>47.556773604450242</c:v>
                </c:pt>
                <c:pt idx="60">
                  <c:v>47.837220485361613</c:v>
                </c:pt>
                <c:pt idx="61">
                  <c:v>48.133583964891308</c:v>
                </c:pt>
                <c:pt idx="62">
                  <c:v>48.445512307900024</c:v>
                </c:pt>
                <c:pt idx="63">
                  <c:v>48.772676452654522</c:v>
                </c:pt>
                <c:pt idx="64">
                  <c:v>49.114768245169465</c:v>
                </c:pt>
                <c:pt idx="65">
                  <c:v>49.471498836542899</c:v>
                </c:pt>
                <c:pt idx="66">
                  <c:v>49.842597225998361</c:v>
                </c:pt>
                <c:pt idx="67">
                  <c:v>50.227808934410447</c:v>
                </c:pt>
                <c:pt idx="68">
                  <c:v>50.626894794882325</c:v>
                </c:pt>
                <c:pt idx="69">
                  <c:v>51.039629848499999</c:v>
                </c:pt>
                <c:pt idx="70">
                  <c:v>51.465802334746314</c:v>
                </c:pt>
                <c:pt idx="71">
                  <c:v>51.905212767241814</c:v>
                </c:pt>
                <c:pt idx="72">
                  <c:v>52.357673086517039</c:v>
                </c:pt>
                <c:pt idx="73">
                  <c:v>52.823005882430103</c:v>
                </c:pt>
                <c:pt idx="74">
                  <c:v>53.30104367964114</c:v>
                </c:pt>
                <c:pt idx="75">
                  <c:v>53.791628280259062</c:v>
                </c:pt>
                <c:pt idx="76">
                  <c:v>54.294610158394221</c:v>
                </c:pt>
                <c:pt idx="77">
                  <c:v>54.809847901899104</c:v>
                </c:pt>
                <c:pt idx="78">
                  <c:v>55.337207697061885</c:v>
                </c:pt>
                <c:pt idx="79">
                  <c:v>55.876562852447051</c:v>
                </c:pt>
                <c:pt idx="80">
                  <c:v>56.42779335845843</c:v>
                </c:pt>
                <c:pt idx="81">
                  <c:v>56.990785479536754</c:v>
                </c:pt>
                <c:pt idx="82">
                  <c:v>57.565431376206739</c:v>
                </c:pt>
                <c:pt idx="83">
                  <c:v>58.151628754456219</c:v>
                </c:pt>
                <c:pt idx="84">
                  <c:v>58.749280540169487</c:v>
                </c:pt>
                <c:pt idx="85">
                  <c:v>59.358294576552183</c:v>
                </c:pt>
                <c:pt idx="86">
                  <c:v>59.978583342675975</c:v>
                </c:pt>
                <c:pt idx="87">
                  <c:v>60.610063691444353</c:v>
                </c:pt>
                <c:pt idx="88">
                  <c:v>61.252656605434332</c:v>
                </c:pt>
                <c:pt idx="89">
                  <c:v>61.906286969208665</c:v>
                </c:pt>
                <c:pt idx="90">
                  <c:v>62.57088335681722</c:v>
                </c:pt>
                <c:pt idx="91">
                  <c:v>63.246377833319798</c:v>
                </c:pt>
                <c:pt idx="92">
                  <c:v>63.932705769262995</c:v>
                </c:pt>
                <c:pt idx="93">
                  <c:v>64.629805667136864</c:v>
                </c:pt>
                <c:pt idx="94">
                  <c:v>65.337618998918913</c:v>
                </c:pt>
                <c:pt idx="95">
                  <c:v>65.534153217813724</c:v>
                </c:pt>
                <c:pt idx="96">
                  <c:v>65.226146081850146</c:v>
                </c:pt>
                <c:pt idx="97">
                  <c:v>64.921400051383557</c:v>
                </c:pt>
                <c:pt idx="98">
                  <c:v>64.619863607447925</c:v>
                </c:pt>
                <c:pt idx="99">
                  <c:v>64.321486310588298</c:v>
                </c:pt>
                <c:pt idx="100">
                  <c:v>64.026218772733799</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7.4399036532509628</c:v>
                </c:pt>
                <c:pt idx="1">
                  <c:v>7.5079228789825887</c:v>
                </c:pt>
                <c:pt idx="2">
                  <c:v>7.9091277192235054</c:v>
                </c:pt>
                <c:pt idx="3">
                  <c:v>8.3103325633181395</c:v>
                </c:pt>
                <c:pt idx="4">
                  <c:v>8.7115374112664785</c:v>
                </c:pt>
                <c:pt idx="5">
                  <c:v>9.112742263068526</c:v>
                </c:pt>
                <c:pt idx="6">
                  <c:v>9.5139471187242712</c:v>
                </c:pt>
                <c:pt idx="7">
                  <c:v>9.9151519782337125</c:v>
                </c:pt>
                <c:pt idx="8">
                  <c:v>10.316356841596846</c:v>
                </c:pt>
                <c:pt idx="9">
                  <c:v>10.717561708813667</c:v>
                </c:pt>
                <c:pt idx="10">
                  <c:v>11.11876657988417</c:v>
                </c:pt>
                <c:pt idx="11">
                  <c:v>11.519971454808353</c:v>
                </c:pt>
                <c:pt idx="12">
                  <c:v>11.921176333586207</c:v>
                </c:pt>
                <c:pt idx="13">
                  <c:v>12.322381216217737</c:v>
                </c:pt>
                <c:pt idx="14">
                  <c:v>12.72358610270293</c:v>
                </c:pt>
                <c:pt idx="15">
                  <c:v>13.124790993041781</c:v>
                </c:pt>
                <c:pt idx="16">
                  <c:v>13.525995887234295</c:v>
                </c:pt>
                <c:pt idx="17">
                  <c:v>14.429723467578093</c:v>
                </c:pt>
                <c:pt idx="18">
                  <c:v>15.715814193523636</c:v>
                </c:pt>
                <c:pt idx="19">
                  <c:v>17.050228190344669</c:v>
                </c:pt>
                <c:pt idx="20">
                  <c:v>18.432931141283589</c:v>
                </c:pt>
                <c:pt idx="21">
                  <c:v>19.863889608852055</c:v>
                </c:pt>
                <c:pt idx="22">
                  <c:v>21.343070969344812</c:v>
                </c:pt>
                <c:pt idx="23">
                  <c:v>22.870443355090796</c:v>
                </c:pt>
                <c:pt idx="24">
                  <c:v>24.445975603220557</c:v>
                </c:pt>
                <c:pt idx="25">
                  <c:v>26.069637209965844</c:v>
                </c:pt>
                <c:pt idx="26">
                  <c:v>27.741398289690444</c:v>
                </c:pt>
                <c:pt idx="27">
                  <c:v>29.461229537994981</c:v>
                </c:pt>
                <c:pt idx="28">
                  <c:v>31.229102198350621</c:v>
                </c:pt>
                <c:pt idx="29">
                  <c:v>33.044988031807769</c:v>
                </c:pt>
                <c:pt idx="30">
                  <c:v>30.115349770489171</c:v>
                </c:pt>
                <c:pt idx="31">
                  <c:v>30.544119821296395</c:v>
                </c:pt>
                <c:pt idx="32">
                  <c:v>30.97299582551096</c:v>
                </c:pt>
                <c:pt idx="33">
                  <c:v>31.401974091229626</c:v>
                </c:pt>
                <c:pt idx="34">
                  <c:v>31.831051204646826</c:v>
                </c:pt>
                <c:pt idx="35">
                  <c:v>32.260224001612173</c:v>
                </c:pt>
                <c:pt idx="36">
                  <c:v>32.689489542821988</c:v>
                </c:pt>
                <c:pt idx="37">
                  <c:v>33.118845092092677</c:v>
                </c:pt>
                <c:pt idx="38">
                  <c:v>33.548288097260652</c:v>
                </c:pt>
                <c:pt idx="39">
                  <c:v>33.977816173331021</c:v>
                </c:pt>
                <c:pt idx="40">
                  <c:v>34.407427087559462</c:v>
                </c:pt>
                <c:pt idx="41">
                  <c:v>34.837118746203181</c:v>
                </c:pt>
                <c:pt idx="42">
                  <c:v>35.26688918271801</c:v>
                </c:pt>
                <c:pt idx="43">
                  <c:v>35.696736547213533</c:v>
                </c:pt>
                <c:pt idx="44">
                  <c:v>36.126659097006034</c:v>
                </c:pt>
                <c:pt idx="45">
                  <c:v>36.556655188132609</c:v>
                </c:pt>
                <c:pt idx="46">
                  <c:v>36.986723267709863</c:v>
                </c:pt>
                <c:pt idx="47">
                  <c:v>37.416861867036424</c:v>
                </c:pt>
                <c:pt idx="48">
                  <c:v>83.117638244924464</c:v>
                </c:pt>
                <c:pt idx="49">
                  <c:v>85.806549263437546</c:v>
                </c:pt>
                <c:pt idx="50">
                  <c:v>88.53493088413731</c:v>
                </c:pt>
                <c:pt idx="51">
                  <c:v>91.302815412319461</c:v>
                </c:pt>
                <c:pt idx="52">
                  <c:v>94.110235828740016</c:v>
                </c:pt>
                <c:pt idx="53">
                  <c:v>96.957225791003737</c:v>
                </c:pt>
                <c:pt idx="54">
                  <c:v>99.843819634981628</c:v>
                </c:pt>
                <c:pt idx="55">
                  <c:v>102.77005237625825</c:v>
                </c:pt>
                <c:pt idx="56">
                  <c:v>105.73595971160826</c:v>
                </c:pt>
                <c:pt idx="57">
                  <c:v>108.74157802050283</c:v>
                </c:pt>
                <c:pt idx="58">
                  <c:v>111.78694436664615</c:v>
                </c:pt>
                <c:pt idx="59">
                  <c:v>114.87209649954103</c:v>
                </c:pt>
                <c:pt idx="60">
                  <c:v>117.99707285608569</c:v>
                </c:pt>
                <c:pt idx="61">
                  <c:v>121.16191256219975</c:v>
                </c:pt>
                <c:pt idx="62">
                  <c:v>124.36665543448125</c:v>
                </c:pt>
                <c:pt idx="63">
                  <c:v>127.61134198189359</c:v>
                </c:pt>
                <c:pt idx="64">
                  <c:v>130.89601340748342</c:v>
                </c:pt>
                <c:pt idx="65">
                  <c:v>134.220711610129</c:v>
                </c:pt>
                <c:pt idx="66">
                  <c:v>137.58547918631987</c:v>
                </c:pt>
                <c:pt idx="67">
                  <c:v>140.9903594319666</c:v>
                </c:pt>
                <c:pt idx="68">
                  <c:v>144.43539634424289</c:v>
                </c:pt>
                <c:pt idx="69">
                  <c:v>147.92063462345777</c:v>
                </c:pt>
                <c:pt idx="70">
                  <c:v>151.44611967496053</c:v>
                </c:pt>
                <c:pt idx="71">
                  <c:v>155.01189761107585</c:v>
                </c:pt>
                <c:pt idx="72">
                  <c:v>158.61801525307169</c:v>
                </c:pt>
                <c:pt idx="73">
                  <c:v>162.26452013315884</c:v>
                </c:pt>
                <c:pt idx="74">
                  <c:v>165.95146049652209</c:v>
                </c:pt>
                <c:pt idx="75">
                  <c:v>169.67888530338482</c:v>
                </c:pt>
                <c:pt idx="76">
                  <c:v>173.44684423110419</c:v>
                </c:pt>
                <c:pt idx="77">
                  <c:v>177.25538767630042</c:v>
                </c:pt>
                <c:pt idx="78">
                  <c:v>181.10456675701863</c:v>
                </c:pt>
                <c:pt idx="79">
                  <c:v>184.99443331492239</c:v>
                </c:pt>
                <c:pt idx="80">
                  <c:v>188.92503991752218</c:v>
                </c:pt>
                <c:pt idx="81">
                  <c:v>192.89643986043527</c:v>
                </c:pt>
                <c:pt idx="82">
                  <c:v>196.90868716968069</c:v>
                </c:pt>
                <c:pt idx="83">
                  <c:v>200.96183660400681</c:v>
                </c:pt>
                <c:pt idx="84">
                  <c:v>205.05594365725284</c:v>
                </c:pt>
                <c:pt idx="85">
                  <c:v>209.19106456074525</c:v>
                </c:pt>
                <c:pt idx="86">
                  <c:v>213.36725628572677</c:v>
                </c:pt>
                <c:pt idx="87">
                  <c:v>217.58457654582202</c:v>
                </c:pt>
                <c:pt idx="88">
                  <c:v>221.84308379953512</c:v>
                </c:pt>
                <c:pt idx="89">
                  <c:v>226.14283725278477</c:v>
                </c:pt>
                <c:pt idx="90">
                  <c:v>230.48389686147218</c:v>
                </c:pt>
                <c:pt idx="91">
                  <c:v>234.86632333408593</c:v>
                </c:pt>
                <c:pt idx="92">
                  <c:v>239.29017813434112</c:v>
                </c:pt>
                <c:pt idx="93">
                  <c:v>243.75552348385466</c:v>
                </c:pt>
                <c:pt idx="94">
                  <c:v>248.26242236485623</c:v>
                </c:pt>
                <c:pt idx="95">
                  <c:v>250.32021983200846</c:v>
                </c:pt>
                <c:pt idx="96">
                  <c:v>249.95909266343264</c:v>
                </c:pt>
                <c:pt idx="97">
                  <c:v>249.60176680323937</c:v>
                </c:pt>
                <c:pt idx="98">
                  <c:v>249.24818254548759</c:v>
                </c:pt>
                <c:pt idx="99">
                  <c:v>248.89828142809938</c:v>
                </c:pt>
                <c:pt idx="100">
                  <c:v>248.55200620063712</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243.15573183147242</c:v>
                </c:pt>
                <c:pt idx="25">
                  <c:v>233.42950255821356</c:v>
                </c:pt>
                <c:pt idx="26">
                  <c:v>224.45144476751304</c:v>
                </c:pt>
                <c:pt idx="27">
                  <c:v>216.13842829464215</c:v>
                </c:pt>
                <c:pt idx="28">
                  <c:v>208.41919871269064</c:v>
                </c:pt>
                <c:pt idx="29">
                  <c:v>201.23232979156342</c:v>
                </c:pt>
                <c:pt idx="30">
                  <c:v>194.52458546517798</c:v>
                </c:pt>
                <c:pt idx="31">
                  <c:v>188.24959883726899</c:v>
                </c:pt>
                <c:pt idx="32">
                  <c:v>182.36679887360438</c:v>
                </c:pt>
                <c:pt idx="33">
                  <c:v>176.84053224107089</c:v>
                </c:pt>
                <c:pt idx="34">
                  <c:v>171.6393401163335</c:v>
                </c:pt>
                <c:pt idx="35">
                  <c:v>166.73535897015253</c:v>
                </c:pt>
                <c:pt idx="36">
                  <c:v>162.10382122098167</c:v>
                </c:pt>
                <c:pt idx="37">
                  <c:v>157.72263686365781</c:v>
                </c:pt>
                <c:pt idx="38">
                  <c:v>153.57204115671942</c:v>
                </c:pt>
                <c:pt idx="39">
                  <c:v>149.6342965116753</c:v>
                </c:pt>
                <c:pt idx="40">
                  <c:v>145.89343909888345</c:v>
                </c:pt>
                <c:pt idx="41">
                  <c:v>142.33506253549604</c:v>
                </c:pt>
                <c:pt idx="42">
                  <c:v>138.94613247512709</c:v>
                </c:pt>
                <c:pt idx="43">
                  <c:v>135.71482706872882</c:v>
                </c:pt>
                <c:pt idx="44">
                  <c:v>132.63039918080312</c:v>
                </c:pt>
                <c:pt idx="45">
                  <c:v>129.68305697678531</c:v>
                </c:pt>
                <c:pt idx="46">
                  <c:v>126.86386008598561</c:v>
                </c:pt>
                <c:pt idx="47">
                  <c:v>124.16462902032636</c:v>
                </c:pt>
                <c:pt idx="48">
                  <c:v>121.57786591573621</c:v>
                </c:pt>
                <c:pt idx="49">
                  <c:v>119.09668497868041</c:v>
                </c:pt>
                <c:pt idx="50">
                  <c:v>116.71475127910678</c:v>
                </c:pt>
                <c:pt idx="51">
                  <c:v>114.42622674422233</c:v>
                </c:pt>
                <c:pt idx="52">
                  <c:v>112.22572238375652</c:v>
                </c:pt>
                <c:pt idx="53">
                  <c:v>110.10825592368565</c:v>
                </c:pt>
                <c:pt idx="54">
                  <c:v>108.06921414732108</c:v>
                </c:pt>
                <c:pt idx="55">
                  <c:v>106.10431934464251</c:v>
                </c:pt>
                <c:pt idx="56">
                  <c:v>104.20959935634532</c:v>
                </c:pt>
                <c:pt idx="57">
                  <c:v>102.3813607711463</c:v>
                </c:pt>
                <c:pt idx="58">
                  <c:v>100.61616489578171</c:v>
                </c:pt>
                <c:pt idx="59">
                  <c:v>98.910806168734553</c:v>
                </c:pt>
                <c:pt idx="60">
                  <c:v>97.262292732588989</c:v>
                </c:pt>
                <c:pt idx="61">
                  <c:v>95.667828917300653</c:v>
                </c:pt>
                <c:pt idx="62">
                  <c:v>94.124799418634495</c:v>
                </c:pt>
                <c:pt idx="63">
                  <c:v>92.630754983418086</c:v>
                </c:pt>
                <c:pt idx="64">
                  <c:v>91.183399436802191</c:v>
                </c:pt>
                <c:pt idx="65">
                  <c:v>89.78057790700521</c:v>
                </c:pt>
                <c:pt idx="66">
                  <c:v>88.420266120535445</c:v>
                </c:pt>
                <c:pt idx="67">
                  <c:v>87.100560656049851</c:v>
                </c:pt>
                <c:pt idx="68">
                  <c:v>85.81967005816675</c:v>
                </c:pt>
                <c:pt idx="69">
                  <c:v>84.575906723990428</c:v>
                </c:pt>
                <c:pt idx="70">
                  <c:v>83.367679485076266</c:v>
                </c:pt>
                <c:pt idx="71">
                  <c:v>82.193486816272369</c:v>
                </c:pt>
                <c:pt idx="72">
                  <c:v>81.051910610490836</c:v>
                </c:pt>
                <c:pt idx="73">
                  <c:v>79.94161046514165</c:v>
                </c:pt>
                <c:pt idx="74">
                  <c:v>78.861318431828906</c:v>
                </c:pt>
                <c:pt idx="75">
                  <c:v>77.8098341860712</c:v>
                </c:pt>
                <c:pt idx="76">
                  <c:v>76.786020578359711</c:v>
                </c:pt>
                <c:pt idx="77">
                  <c:v>75.788799531887491</c:v>
                </c:pt>
                <c:pt idx="78">
                  <c:v>74.817148255837651</c:v>
                </c:pt>
                <c:pt idx="79">
                  <c:v>73.870095746270096</c:v>
                </c:pt>
                <c:pt idx="80">
                  <c:v>72.946719549441724</c:v>
                </c:pt>
                <c:pt idx="81">
                  <c:v>72.046142764880727</c:v>
                </c:pt>
                <c:pt idx="82">
                  <c:v>71.167531267748018</c:v>
                </c:pt>
                <c:pt idx="83">
                  <c:v>70.310091131992039</c:v>
                </c:pt>
                <c:pt idx="84">
                  <c:v>69.473066237563543</c:v>
                </c:pt>
                <c:pt idx="85">
                  <c:v>68.655736046533377</c:v>
                </c:pt>
                <c:pt idx="86">
                  <c:v>67.857413534364412</c:v>
                </c:pt>
                <c:pt idx="87">
                  <c:v>67.077443263854448</c:v>
                </c:pt>
                <c:pt idx="88">
                  <c:v>66.315199590401562</c:v>
                </c:pt>
                <c:pt idx="89">
                  <c:v>65.570084988262224</c:v>
                </c:pt>
                <c:pt idx="90">
                  <c:v>64.841528488392655</c:v>
                </c:pt>
                <c:pt idx="91">
                  <c:v>64.128984219289435</c:v>
                </c:pt>
                <c:pt idx="92">
                  <c:v>63.431930042992803</c:v>
                </c:pt>
                <c:pt idx="93">
                  <c:v>62.749866279089645</c:v>
                </c:pt>
                <c:pt idx="94">
                  <c:v>62.082314510163179</c:v>
                </c:pt>
                <c:pt idx="95">
                  <c:v>61.428816462687784</c:v>
                </c:pt>
                <c:pt idx="96">
                  <c:v>60.788932957868106</c:v>
                </c:pt>
                <c:pt idx="97">
                  <c:v>60.162242927374635</c:v>
                </c:pt>
                <c:pt idx="98">
                  <c:v>59.548342489340207</c:v>
                </c:pt>
                <c:pt idx="99">
                  <c:v>58.946844080356954</c:v>
                </c:pt>
                <c:pt idx="100">
                  <c:v>58.357375639553389</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346.34181955610529</c:v>
                </c:pt>
                <c:pt idx="45">
                  <c:v>338.64533467708077</c:v>
                </c:pt>
                <c:pt idx="46">
                  <c:v>331.28347957540501</c:v>
                </c:pt>
                <c:pt idx="47">
                  <c:v>324.23489490358799</c:v>
                </c:pt>
                <c:pt idx="48">
                  <c:v>317.48000125976324</c:v>
                </c:pt>
                <c:pt idx="49">
                  <c:v>311.00081756058432</c:v>
                </c:pt>
                <c:pt idx="50">
                  <c:v>304.78080120937273</c:v>
                </c:pt>
                <c:pt idx="51">
                  <c:v>298.80470706801242</c:v>
                </c:pt>
                <c:pt idx="52">
                  <c:v>293.05846270131985</c:v>
                </c:pt>
                <c:pt idx="53">
                  <c:v>287.52905774469116</c:v>
                </c:pt>
                <c:pt idx="54">
                  <c:v>282.20444556423394</c:v>
                </c:pt>
                <c:pt idx="55">
                  <c:v>277.07345564488423</c:v>
                </c:pt>
                <c:pt idx="56">
                  <c:v>272.12571536551127</c:v>
                </c:pt>
                <c:pt idx="57">
                  <c:v>267.35158000822167</c:v>
                </c:pt>
                <c:pt idx="58">
                  <c:v>262.74207000807991</c:v>
                </c:pt>
                <c:pt idx="59">
                  <c:v>258.28881458421415</c:v>
                </c:pt>
                <c:pt idx="60">
                  <c:v>253.9840010078106</c:v>
                </c:pt>
                <c:pt idx="61">
                  <c:v>249.82032886014153</c:v>
                </c:pt>
                <c:pt idx="62">
                  <c:v>245.79096871723604</c:v>
                </c:pt>
                <c:pt idx="63">
                  <c:v>241.88952476934347</c:v>
                </c:pt>
                <c:pt idx="64">
                  <c:v>238.11000094482242</c:v>
                </c:pt>
                <c:pt idx="65">
                  <c:v>234.44677016105589</c:v>
                </c:pt>
                <c:pt idx="66">
                  <c:v>230.89454637073683</c:v>
                </c:pt>
                <c:pt idx="67">
                  <c:v>227.44835911147214</c:v>
                </c:pt>
                <c:pt idx="68">
                  <c:v>224.1035303010093</c:v>
                </c:pt>
                <c:pt idx="69">
                  <c:v>220.85565305027009</c:v>
                </c:pt>
                <c:pt idx="70">
                  <c:v>217.70057229240905</c:v>
                </c:pt>
                <c:pt idx="71">
                  <c:v>214.63436704885399</c:v>
                </c:pt>
                <c:pt idx="72">
                  <c:v>211.65333417317547</c:v>
                </c:pt>
                <c:pt idx="73">
                  <c:v>208.75397343107718</c:v>
                </c:pt>
                <c:pt idx="74">
                  <c:v>205.93297379011668</c:v>
                </c:pt>
                <c:pt idx="75">
                  <c:v>203.18720080624846</c:v>
                </c:pt>
                <c:pt idx="76">
                  <c:v>200.51368500616621</c:v>
                </c:pt>
                <c:pt idx="77">
                  <c:v>197.9096111749173</c:v>
                </c:pt>
                <c:pt idx="78">
                  <c:v>195.37230846754656</c:v>
                </c:pt>
                <c:pt idx="79">
                  <c:v>192.89924127175482</c:v>
                </c:pt>
                <c:pt idx="80">
                  <c:v>190.48800075585783</c:v>
                </c:pt>
                <c:pt idx="81">
                  <c:v>188.1362970428226</c:v>
                </c:pt>
                <c:pt idx="82">
                  <c:v>185.84195195693454</c:v>
                </c:pt>
                <c:pt idx="83">
                  <c:v>183.60289229480279</c:v>
                </c:pt>
                <c:pt idx="84">
                  <c:v>181.41714357700749</c:v>
                </c:pt>
                <c:pt idx="85">
                  <c:v>179.28282424080743</c:v>
                </c:pt>
                <c:pt idx="86">
                  <c:v>177.19814023800734</c:v>
                </c:pt>
                <c:pt idx="87">
                  <c:v>175.16138000538655</c:v>
                </c:pt>
                <c:pt idx="88">
                  <c:v>173.17090977805265</c:v>
                </c:pt>
                <c:pt idx="89">
                  <c:v>171.22516921874865</c:v>
                </c:pt>
                <c:pt idx="90">
                  <c:v>169.32266733854038</c:v>
                </c:pt>
                <c:pt idx="91">
                  <c:v>167.46197868646848</c:v>
                </c:pt>
                <c:pt idx="92">
                  <c:v>165.64173978770251</c:v>
                </c:pt>
                <c:pt idx="93">
                  <c:v>163.86064581149068</c:v>
                </c:pt>
                <c:pt idx="94">
                  <c:v>162.11744745179399</c:v>
                </c:pt>
                <c:pt idx="95">
                  <c:v>160.41094800493303</c:v>
                </c:pt>
                <c:pt idx="96">
                  <c:v>158.74000062988162</c:v>
                </c:pt>
                <c:pt idx="97">
                  <c:v>157.10350577802714</c:v>
                </c:pt>
                <c:pt idx="98">
                  <c:v>155.50040878029216</c:v>
                </c:pt>
                <c:pt idx="99">
                  <c:v>153.92969758049122</c:v>
                </c:pt>
                <c:pt idx="100">
                  <c:v>152.39040060468636</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347.77535160976549</c:v>
                </c:pt>
                <c:pt idx="47">
                  <c:v>340.37587604360039</c:v>
                </c:pt>
                <c:pt idx="48">
                  <c:v>333.28471195935873</c:v>
                </c:pt>
                <c:pt idx="49">
                  <c:v>326.48298314386153</c:v>
                </c:pt>
                <c:pt idx="50">
                  <c:v>319.9533234809843</c:v>
                </c:pt>
                <c:pt idx="51">
                  <c:v>313.67972890292577</c:v>
                </c:pt>
                <c:pt idx="52">
                  <c:v>307.64742642402331</c:v>
                </c:pt>
                <c:pt idx="53">
                  <c:v>301.84275800092854</c:v>
                </c:pt>
                <c:pt idx="54">
                  <c:v>296.25307729720765</c:v>
                </c:pt>
                <c:pt idx="55">
                  <c:v>290.8666577099857</c:v>
                </c:pt>
                <c:pt idx="56">
                  <c:v>285.67261025087885</c:v>
                </c:pt>
                <c:pt idx="57">
                  <c:v>280.6608100710389</c:v>
                </c:pt>
                <c:pt idx="58">
                  <c:v>275.82183058705544</c:v>
                </c:pt>
                <c:pt idx="59">
                  <c:v>271.14688430591895</c:v>
                </c:pt>
                <c:pt idx="60">
                  <c:v>266.62776956748695</c:v>
                </c:pt>
                <c:pt idx="61">
                  <c:v>262.25682252539701</c:v>
                </c:pt>
                <c:pt idx="62">
                  <c:v>258.02687377498734</c:v>
                </c:pt>
                <c:pt idx="63">
                  <c:v>253.93120911189226</c:v>
                </c:pt>
                <c:pt idx="64">
                  <c:v>249.96353396951903</c:v>
                </c:pt>
                <c:pt idx="65">
                  <c:v>246.11794113921863</c:v>
                </c:pt>
                <c:pt idx="66">
                  <c:v>242.38888142498809</c:v>
                </c:pt>
                <c:pt idx="67">
                  <c:v>238.77113692610766</c:v>
                </c:pt>
                <c:pt idx="68">
                  <c:v>235.25979667719429</c:v>
                </c:pt>
                <c:pt idx="69">
                  <c:v>231.85023440651037</c:v>
                </c:pt>
                <c:pt idx="70">
                  <c:v>228.53808820070304</c:v>
                </c:pt>
                <c:pt idx="71">
                  <c:v>225.31924188801713</c:v>
                </c:pt>
                <c:pt idx="72">
                  <c:v>222.18980797290581</c:v>
                </c:pt>
                <c:pt idx="73">
                  <c:v>219.14611197327693</c:v>
                </c:pt>
                <c:pt idx="74">
                  <c:v>216.18467802769206</c:v>
                </c:pt>
                <c:pt idx="75">
                  <c:v>213.30221565398952</c:v>
                </c:pt>
                <c:pt idx="76">
                  <c:v>210.49560755327914</c:v>
                </c:pt>
                <c:pt idx="77">
                  <c:v>207.76189836427554</c:v>
                </c:pt>
                <c:pt idx="78">
                  <c:v>205.09828428268222</c:v>
                </c:pt>
                <c:pt idx="79">
                  <c:v>202.50210346897737</c:v>
                </c:pt>
                <c:pt idx="80">
                  <c:v>199.97082717561514</c:v>
                </c:pt>
                <c:pt idx="81">
                  <c:v>197.50205153147175</c:v>
                </c:pt>
                <c:pt idx="82">
                  <c:v>195.09348992742946</c:v>
                </c:pt>
                <c:pt idx="83">
                  <c:v>192.74296595240017</c:v>
                </c:pt>
                <c:pt idx="84">
                  <c:v>190.44840683391919</c:v>
                </c:pt>
                <c:pt idx="85">
                  <c:v>188.20783734175544</c:v>
                </c:pt>
                <c:pt idx="86">
                  <c:v>186.01937411685131</c:v>
                </c:pt>
                <c:pt idx="87">
                  <c:v>183.88122039137025</c:v>
                </c:pt>
                <c:pt idx="88">
                  <c:v>181.79166106874106</c:v>
                </c:pt>
                <c:pt idx="89">
                  <c:v>179.74905813538442</c:v>
                </c:pt>
                <c:pt idx="90">
                  <c:v>177.75184637832461</c:v>
                </c:pt>
                <c:pt idx="91">
                  <c:v>175.7985293851562</c:v>
                </c:pt>
                <c:pt idx="92">
                  <c:v>173.88767580488275</c:v>
                </c:pt>
                <c:pt idx="93">
                  <c:v>172.01791584999151</c:v>
                </c:pt>
                <c:pt idx="94">
                  <c:v>170.18793802180019</c:v>
                </c:pt>
                <c:pt idx="95">
                  <c:v>168.39648604262334</c:v>
                </c:pt>
                <c:pt idx="96">
                  <c:v>166.64235597967937</c:v>
                </c:pt>
                <c:pt idx="97">
                  <c:v>164.92439354689913</c:v>
                </c:pt>
                <c:pt idx="98">
                  <c:v>163.24149157193077</c:v>
                </c:pt>
                <c:pt idx="99">
                  <c:v>161.59258761665873</c:v>
                </c:pt>
                <c:pt idx="100">
                  <c:v>159.97666174049215</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0.1710119568387285</c:v>
                </c:pt>
                <c:pt idx="25">
                  <c:v>0.1781374550403422</c:v>
                </c:pt>
                <c:pt idx="26">
                  <c:v>0.18526295324195588</c:v>
                </c:pt>
                <c:pt idx="27">
                  <c:v>0.19238845144356959</c:v>
                </c:pt>
                <c:pt idx="28">
                  <c:v>0.19951394964518326</c:v>
                </c:pt>
                <c:pt idx="29">
                  <c:v>0.20663944784679694</c:v>
                </c:pt>
                <c:pt idx="30">
                  <c:v>0.21376494604841062</c:v>
                </c:pt>
                <c:pt idx="31">
                  <c:v>0.22089044425002433</c:v>
                </c:pt>
                <c:pt idx="32">
                  <c:v>0.228015942451638</c:v>
                </c:pt>
                <c:pt idx="33">
                  <c:v>0.23514144065325171</c:v>
                </c:pt>
                <c:pt idx="34">
                  <c:v>0.24226693885486539</c:v>
                </c:pt>
                <c:pt idx="35">
                  <c:v>0.24939243705647907</c:v>
                </c:pt>
                <c:pt idx="36">
                  <c:v>0.25651793525809274</c:v>
                </c:pt>
                <c:pt idx="37">
                  <c:v>0.26364343345970642</c:v>
                </c:pt>
                <c:pt idx="38">
                  <c:v>0.27076893166132016</c:v>
                </c:pt>
                <c:pt idx="39">
                  <c:v>0.27789442986293389</c:v>
                </c:pt>
                <c:pt idx="40">
                  <c:v>0.28501992806454757</c:v>
                </c:pt>
                <c:pt idx="41">
                  <c:v>0.29214542626616125</c:v>
                </c:pt>
                <c:pt idx="42">
                  <c:v>0.29927092446777492</c:v>
                </c:pt>
                <c:pt idx="43">
                  <c:v>0.3063964226693886</c:v>
                </c:pt>
                <c:pt idx="44">
                  <c:v>0.31352192087100228</c:v>
                </c:pt>
                <c:pt idx="45">
                  <c:v>0.32064741907261601</c:v>
                </c:pt>
                <c:pt idx="46">
                  <c:v>0.32777291727422969</c:v>
                </c:pt>
                <c:pt idx="47">
                  <c:v>0.33489841547584331</c:v>
                </c:pt>
                <c:pt idx="48">
                  <c:v>0.34202391367745699</c:v>
                </c:pt>
                <c:pt idx="49">
                  <c:v>0.34914941187907067</c:v>
                </c:pt>
                <c:pt idx="50">
                  <c:v>0.3562749100806844</c:v>
                </c:pt>
                <c:pt idx="51">
                  <c:v>0.36340040828229808</c:v>
                </c:pt>
                <c:pt idx="52">
                  <c:v>0.37052590648391176</c:v>
                </c:pt>
                <c:pt idx="53">
                  <c:v>0.37765140468552549</c:v>
                </c:pt>
                <c:pt idx="54">
                  <c:v>0.38477690288713917</c:v>
                </c:pt>
                <c:pt idx="55">
                  <c:v>0.39190240108875285</c:v>
                </c:pt>
                <c:pt idx="56">
                  <c:v>0.39902789929036653</c:v>
                </c:pt>
                <c:pt idx="57">
                  <c:v>0.40615339749198015</c:v>
                </c:pt>
                <c:pt idx="58">
                  <c:v>0.41327889569359388</c:v>
                </c:pt>
                <c:pt idx="59">
                  <c:v>0.42040439389520756</c:v>
                </c:pt>
                <c:pt idx="60">
                  <c:v>0.42752989209682124</c:v>
                </c:pt>
                <c:pt idx="61">
                  <c:v>0.43465539029843492</c:v>
                </c:pt>
                <c:pt idx="62">
                  <c:v>0.44178088850004865</c:v>
                </c:pt>
                <c:pt idx="63">
                  <c:v>0.44890638670166233</c:v>
                </c:pt>
                <c:pt idx="64">
                  <c:v>0.45603188490327601</c:v>
                </c:pt>
                <c:pt idx="65">
                  <c:v>0.46315738310488974</c:v>
                </c:pt>
                <c:pt idx="66">
                  <c:v>0.47028288130650342</c:v>
                </c:pt>
                <c:pt idx="67">
                  <c:v>0.4774083795081171</c:v>
                </c:pt>
                <c:pt idx="68">
                  <c:v>0.48453387770973078</c:v>
                </c:pt>
                <c:pt idx="69">
                  <c:v>0.4916593759113444</c:v>
                </c:pt>
                <c:pt idx="70">
                  <c:v>0.49878487411295813</c:v>
                </c:pt>
                <c:pt idx="71">
                  <c:v>0.50591037231457181</c:v>
                </c:pt>
                <c:pt idx="72">
                  <c:v>0.51303587051618549</c:v>
                </c:pt>
                <c:pt idx="73">
                  <c:v>0.52016136871779917</c:v>
                </c:pt>
                <c:pt idx="74">
                  <c:v>0.52728686691941284</c:v>
                </c:pt>
                <c:pt idx="75">
                  <c:v>0.53441236512102663</c:v>
                </c:pt>
                <c:pt idx="76">
                  <c:v>0.54153786332264031</c:v>
                </c:pt>
                <c:pt idx="77">
                  <c:v>0.5486633615242541</c:v>
                </c:pt>
                <c:pt idx="78">
                  <c:v>0.55578885972586778</c:v>
                </c:pt>
                <c:pt idx="79">
                  <c:v>0.56291435792748146</c:v>
                </c:pt>
                <c:pt idx="80">
                  <c:v>0.57003985612909513</c:v>
                </c:pt>
                <c:pt idx="81">
                  <c:v>0.57716535433070881</c:v>
                </c:pt>
                <c:pt idx="82">
                  <c:v>0.58429085253232249</c:v>
                </c:pt>
                <c:pt idx="83">
                  <c:v>0.59141635073393617</c:v>
                </c:pt>
                <c:pt idx="84">
                  <c:v>0.59854184893554985</c:v>
                </c:pt>
                <c:pt idx="85">
                  <c:v>0.60566734713716353</c:v>
                </c:pt>
                <c:pt idx="86">
                  <c:v>0.6127928453387772</c:v>
                </c:pt>
                <c:pt idx="87">
                  <c:v>0.61991834354039088</c:v>
                </c:pt>
                <c:pt idx="88">
                  <c:v>0.62704384174200456</c:v>
                </c:pt>
                <c:pt idx="89">
                  <c:v>0.63416933994361835</c:v>
                </c:pt>
                <c:pt idx="90">
                  <c:v>0.64129483814523203</c:v>
                </c:pt>
                <c:pt idx="91">
                  <c:v>0.6484203363468457</c:v>
                </c:pt>
                <c:pt idx="92">
                  <c:v>0.65554583454845938</c:v>
                </c:pt>
                <c:pt idx="93">
                  <c:v>0.66267133275007306</c:v>
                </c:pt>
                <c:pt idx="94">
                  <c:v>0.66979683095168663</c:v>
                </c:pt>
                <c:pt idx="95">
                  <c:v>0.67692232915330031</c:v>
                </c:pt>
                <c:pt idx="96">
                  <c:v>0.68404782735491398</c:v>
                </c:pt>
                <c:pt idx="97">
                  <c:v>0.69117332555652766</c:v>
                </c:pt>
                <c:pt idx="98">
                  <c:v>0.69829882375814134</c:v>
                </c:pt>
                <c:pt idx="99">
                  <c:v>0.70542432195975513</c:v>
                </c:pt>
                <c:pt idx="100">
                  <c:v>0.71254982016136881</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Single'!$AJ$5:$AJ$105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0.15239047589287577</c:v>
                </c:pt>
                <c:pt idx="28">
                  <c:v>0.15518686465987697</c:v>
                </c:pt>
                <c:pt idx="29">
                  <c:v>0.15793374808149394</c:v>
                </c:pt>
                <c:pt idx="30">
                  <c:v>0.16063366584615632</c:v>
                </c:pt>
                <c:pt idx="31">
                  <c:v>0.1632889476458233</c:v>
                </c:pt>
                <c:pt idx="32">
                  <c:v>0.16590173670997616</c:v>
                </c:pt>
                <c:pt idx="33">
                  <c:v>0.16847401005345622</c:v>
                </c:pt>
                <c:pt idx="34">
                  <c:v>0.17100759598216064</c:v>
                </c:pt>
                <c:pt idx="35">
                  <c:v>0.17350418929727229</c:v>
                </c:pt>
                <c:pt idx="36">
                  <c:v>0.17596536455737397</c:v>
                </c:pt>
                <c:pt idx="37">
                  <c:v>0.17839258769331012</c:v>
                </c:pt>
                <c:pt idx="38">
                  <c:v>0.18078722621916951</c:v>
                </c:pt>
                <c:pt idx="39">
                  <c:v>0.18315055824137419</c:v>
                </c:pt>
                <c:pt idx="40">
                  <c:v>0.18548378043438951</c:v>
                </c:pt>
                <c:pt idx="41">
                  <c:v>0.18778801512433807</c:v>
                </c:pt>
                <c:pt idx="42">
                  <c:v>0.19006431659952494</c:v>
                </c:pt>
                <c:pt idx="43">
                  <c:v>0.19231367674856167</c:v>
                </c:pt>
                <c:pt idx="44">
                  <c:v>0.19453703011163734</c:v>
                </c:pt>
                <c:pt idx="45">
                  <c:v>0.19673525841791023</c:v>
                </c:pt>
                <c:pt idx="46">
                  <c:v>0.19890919467150767</c:v>
                </c:pt>
                <c:pt idx="47">
                  <c:v>0.20105962683983464</c:v>
                </c:pt>
                <c:pt idx="48">
                  <c:v>0.21165354330708661</c:v>
                </c:pt>
                <c:pt idx="49">
                  <c:v>0.21606299212598426</c:v>
                </c:pt>
                <c:pt idx="50">
                  <c:v>0.22047244094488189</c:v>
                </c:pt>
                <c:pt idx="51">
                  <c:v>0.22488188976377954</c:v>
                </c:pt>
                <c:pt idx="52">
                  <c:v>0.22929133858267717</c:v>
                </c:pt>
                <c:pt idx="53">
                  <c:v>0.23370078740157482</c:v>
                </c:pt>
                <c:pt idx="54">
                  <c:v>0.23811023622047248</c:v>
                </c:pt>
                <c:pt idx="55">
                  <c:v>0.2425196850393701</c:v>
                </c:pt>
                <c:pt idx="56">
                  <c:v>0.24692913385826776</c:v>
                </c:pt>
                <c:pt idx="57">
                  <c:v>0.25133858267716536</c:v>
                </c:pt>
                <c:pt idx="58">
                  <c:v>0.25574803149606296</c:v>
                </c:pt>
                <c:pt idx="59">
                  <c:v>0.26015748031496061</c:v>
                </c:pt>
                <c:pt idx="60">
                  <c:v>0.26456692913385826</c:v>
                </c:pt>
                <c:pt idx="61">
                  <c:v>0.26897637795275592</c:v>
                </c:pt>
                <c:pt idx="62">
                  <c:v>0.27338582677165357</c:v>
                </c:pt>
                <c:pt idx="63">
                  <c:v>0.27779527559055117</c:v>
                </c:pt>
                <c:pt idx="64">
                  <c:v>0.28220472440944883</c:v>
                </c:pt>
                <c:pt idx="65">
                  <c:v>0.28661417322834648</c:v>
                </c:pt>
                <c:pt idx="66">
                  <c:v>0.29102362204724413</c:v>
                </c:pt>
                <c:pt idx="67">
                  <c:v>0.29543307086614173</c:v>
                </c:pt>
                <c:pt idx="68">
                  <c:v>0.29984251968503939</c:v>
                </c:pt>
                <c:pt idx="69">
                  <c:v>0.30425196850393699</c:v>
                </c:pt>
                <c:pt idx="70">
                  <c:v>0.30866141732283464</c:v>
                </c:pt>
                <c:pt idx="71">
                  <c:v>0.3130708661417323</c:v>
                </c:pt>
                <c:pt idx="72">
                  <c:v>0.31748031496062989</c:v>
                </c:pt>
                <c:pt idx="73">
                  <c:v>0.32188976377952755</c:v>
                </c:pt>
                <c:pt idx="74">
                  <c:v>0.3262992125984252</c:v>
                </c:pt>
                <c:pt idx="75">
                  <c:v>0.33070866141732291</c:v>
                </c:pt>
                <c:pt idx="76">
                  <c:v>0.33511811023622051</c:v>
                </c:pt>
                <c:pt idx="77">
                  <c:v>0.33952755905511817</c:v>
                </c:pt>
                <c:pt idx="78">
                  <c:v>0.34393700787401582</c:v>
                </c:pt>
                <c:pt idx="79">
                  <c:v>0.34834645669291348</c:v>
                </c:pt>
                <c:pt idx="80">
                  <c:v>0.35275590551181113</c:v>
                </c:pt>
                <c:pt idx="81">
                  <c:v>0.35716535433070873</c:v>
                </c:pt>
                <c:pt idx="82">
                  <c:v>0.36157480314960633</c:v>
                </c:pt>
                <c:pt idx="83">
                  <c:v>0.36598425196850398</c:v>
                </c:pt>
                <c:pt idx="84">
                  <c:v>0.37039370078740164</c:v>
                </c:pt>
                <c:pt idx="85">
                  <c:v>0.37480314960629924</c:v>
                </c:pt>
                <c:pt idx="86">
                  <c:v>0.37921259842519689</c:v>
                </c:pt>
                <c:pt idx="87">
                  <c:v>0.38362204724409454</c:v>
                </c:pt>
                <c:pt idx="88">
                  <c:v>0.3880314960629922</c:v>
                </c:pt>
                <c:pt idx="89">
                  <c:v>0.39244094488188985</c:v>
                </c:pt>
                <c:pt idx="90">
                  <c:v>0.39685039370078745</c:v>
                </c:pt>
                <c:pt idx="91">
                  <c:v>0.40125984251968511</c:v>
                </c:pt>
                <c:pt idx="92">
                  <c:v>0.40566929133858276</c:v>
                </c:pt>
                <c:pt idx="93">
                  <c:v>0.41007874015748041</c:v>
                </c:pt>
                <c:pt idx="94">
                  <c:v>0.41448818897637796</c:v>
                </c:pt>
                <c:pt idx="95">
                  <c:v>0.41889763779527556</c:v>
                </c:pt>
                <c:pt idx="96">
                  <c:v>0.42330708661417321</c:v>
                </c:pt>
                <c:pt idx="97">
                  <c:v>0.42771653543307087</c:v>
                </c:pt>
                <c:pt idx="98">
                  <c:v>0.43212598425196852</c:v>
                </c:pt>
                <c:pt idx="99">
                  <c:v>0.43653543307086617</c:v>
                </c:pt>
                <c:pt idx="100">
                  <c:v>0.44094488188976377</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0.15239047589287574</c:v>
                </c:pt>
                <c:pt idx="31">
                  <c:v>0.15490949738783732</c:v>
                </c:pt>
                <c:pt idx="32">
                  <c:v>0.15738820673432816</c:v>
                </c:pt>
                <c:pt idx="33">
                  <c:v>0.15982847949330828</c:v>
                </c:pt>
                <c:pt idx="34">
                  <c:v>0.16223205014804595</c:v>
                </c:pt>
                <c:pt idx="35">
                  <c:v>0.16460052652811696</c:v>
                </c:pt>
                <c:pt idx="36">
                  <c:v>0.16693540239095053</c:v>
                </c:pt>
                <c:pt idx="37">
                  <c:v>0.16923806844065495</c:v>
                </c:pt>
                <c:pt idx="38">
                  <c:v>0.17150982201500606</c:v>
                </c:pt>
                <c:pt idx="39">
                  <c:v>0.17375187563221955</c:v>
                </c:pt>
                <c:pt idx="40">
                  <c:v>0.17596536455737399</c:v>
                </c:pt>
                <c:pt idx="41">
                  <c:v>0.17815135352251682</c:v>
                </c:pt>
                <c:pt idx="42">
                  <c:v>0.18031084271335435</c:v>
                </c:pt>
                <c:pt idx="43">
                  <c:v>0.18244477311804591</c:v>
                </c:pt>
                <c:pt idx="44">
                  <c:v>0.18455403131926024</c:v>
                </c:pt>
                <c:pt idx="45">
                  <c:v>0.18663945379872318</c:v>
                </c:pt>
                <c:pt idx="46">
                  <c:v>0.18870183081353759</c:v>
                </c:pt>
                <c:pt idx="47">
                  <c:v>0.19074190989521991</c:v>
                </c:pt>
                <c:pt idx="48">
                  <c:v>0.19276039901538758</c:v>
                </c:pt>
                <c:pt idx="49">
                  <c:v>0.19475796945610896</c:v>
                </c:pt>
                <c:pt idx="50">
                  <c:v>0.2151814356538766</c:v>
                </c:pt>
                <c:pt idx="51">
                  <c:v>0.21948506436695411</c:v>
                </c:pt>
                <c:pt idx="52">
                  <c:v>0.22378869308003166</c:v>
                </c:pt>
                <c:pt idx="53">
                  <c:v>0.2280923217931092</c:v>
                </c:pt>
                <c:pt idx="54">
                  <c:v>0.23239595050618672</c:v>
                </c:pt>
                <c:pt idx="55">
                  <c:v>0.23669957921926427</c:v>
                </c:pt>
                <c:pt idx="56">
                  <c:v>0.24100320793234178</c:v>
                </c:pt>
                <c:pt idx="57">
                  <c:v>0.24530683664541927</c:v>
                </c:pt>
                <c:pt idx="58">
                  <c:v>0.24961046535849682</c:v>
                </c:pt>
                <c:pt idx="59">
                  <c:v>0.25391409407157434</c:v>
                </c:pt>
                <c:pt idx="60">
                  <c:v>0.25821772278465188</c:v>
                </c:pt>
                <c:pt idx="61">
                  <c:v>0.26252135149772943</c:v>
                </c:pt>
                <c:pt idx="62">
                  <c:v>0.26682498021080697</c:v>
                </c:pt>
                <c:pt idx="63">
                  <c:v>0.27112860892388452</c:v>
                </c:pt>
                <c:pt idx="64">
                  <c:v>0.27543223763696201</c:v>
                </c:pt>
                <c:pt idx="65">
                  <c:v>0.27973586635003955</c:v>
                </c:pt>
                <c:pt idx="66">
                  <c:v>0.2840394950631171</c:v>
                </c:pt>
                <c:pt idx="67">
                  <c:v>0.28834312377619464</c:v>
                </c:pt>
                <c:pt idx="68">
                  <c:v>0.29264675248927219</c:v>
                </c:pt>
                <c:pt idx="69">
                  <c:v>0.29695038120234968</c:v>
                </c:pt>
                <c:pt idx="70">
                  <c:v>0.30125400991542722</c:v>
                </c:pt>
                <c:pt idx="71">
                  <c:v>0.30555763862850471</c:v>
                </c:pt>
                <c:pt idx="72">
                  <c:v>0.30986126734158226</c:v>
                </c:pt>
                <c:pt idx="73">
                  <c:v>0.3141648960546598</c:v>
                </c:pt>
                <c:pt idx="74">
                  <c:v>0.31846852476773735</c:v>
                </c:pt>
                <c:pt idx="75">
                  <c:v>0.32277215348081495</c:v>
                </c:pt>
                <c:pt idx="76">
                  <c:v>0.32707578219389244</c:v>
                </c:pt>
                <c:pt idx="77">
                  <c:v>0.33137941090696998</c:v>
                </c:pt>
                <c:pt idx="78">
                  <c:v>0.33568303962004753</c:v>
                </c:pt>
                <c:pt idx="79">
                  <c:v>0.33998666833312507</c:v>
                </c:pt>
                <c:pt idx="80">
                  <c:v>0.34429029704620262</c:v>
                </c:pt>
                <c:pt idx="81">
                  <c:v>0.34859392575928017</c:v>
                </c:pt>
                <c:pt idx="82">
                  <c:v>0.3528975544723576</c:v>
                </c:pt>
                <c:pt idx="83">
                  <c:v>0.35720118318543514</c:v>
                </c:pt>
                <c:pt idx="84">
                  <c:v>0.36150481189851269</c:v>
                </c:pt>
                <c:pt idx="85">
                  <c:v>0.36580844061159024</c:v>
                </c:pt>
                <c:pt idx="86">
                  <c:v>0.37011206932466778</c:v>
                </c:pt>
                <c:pt idx="87">
                  <c:v>0.37441569803774533</c:v>
                </c:pt>
                <c:pt idx="88">
                  <c:v>0.37871932675082282</c:v>
                </c:pt>
                <c:pt idx="89">
                  <c:v>0.38302295546390036</c:v>
                </c:pt>
                <c:pt idx="90">
                  <c:v>0.38732658417697791</c:v>
                </c:pt>
                <c:pt idx="91">
                  <c:v>0.39163021289005545</c:v>
                </c:pt>
                <c:pt idx="92">
                  <c:v>0.395933841603133</c:v>
                </c:pt>
                <c:pt idx="93">
                  <c:v>0.40023747031621054</c:v>
                </c:pt>
                <c:pt idx="94">
                  <c:v>0.40454109902928798</c:v>
                </c:pt>
                <c:pt idx="95">
                  <c:v>0.40884472774236547</c:v>
                </c:pt>
                <c:pt idx="96">
                  <c:v>0.41314835645544301</c:v>
                </c:pt>
                <c:pt idx="97">
                  <c:v>0.41745198516852056</c:v>
                </c:pt>
                <c:pt idx="98">
                  <c:v>0.4217556138815981</c:v>
                </c:pt>
                <c:pt idx="99">
                  <c:v>0.42605924259467565</c:v>
                </c:pt>
                <c:pt idx="100">
                  <c:v>0.43036287130775319</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1.2140079712258189</c:v>
                </c:pt>
                <c:pt idx="25">
                  <c:v>1.2187583033602281</c:v>
                </c:pt>
                <c:pt idx="26">
                  <c:v>1.2235086354946372</c:v>
                </c:pt>
                <c:pt idx="27">
                  <c:v>1.2282589676290463</c:v>
                </c:pt>
                <c:pt idx="28">
                  <c:v>1.2330092997634554</c:v>
                </c:pt>
                <c:pt idx="29">
                  <c:v>1.2377596318978645</c:v>
                </c:pt>
                <c:pt idx="30">
                  <c:v>1.2425099640322737</c:v>
                </c:pt>
                <c:pt idx="31">
                  <c:v>1.2472602961666828</c:v>
                </c:pt>
                <c:pt idx="32">
                  <c:v>1.2520106283010919</c:v>
                </c:pt>
                <c:pt idx="33">
                  <c:v>1.256760960435501</c:v>
                </c:pt>
                <c:pt idx="34">
                  <c:v>1.2615112925699101</c:v>
                </c:pt>
                <c:pt idx="35">
                  <c:v>1.2662616247043192</c:v>
                </c:pt>
                <c:pt idx="36">
                  <c:v>1.2710119568387284</c:v>
                </c:pt>
                <c:pt idx="37">
                  <c:v>1.2757622889731377</c:v>
                </c:pt>
                <c:pt idx="38">
                  <c:v>1.2805126211075468</c:v>
                </c:pt>
                <c:pt idx="39">
                  <c:v>1.2852629532419559</c:v>
                </c:pt>
                <c:pt idx="40">
                  <c:v>1.2900132853763651</c:v>
                </c:pt>
                <c:pt idx="41">
                  <c:v>1.2947636175107742</c:v>
                </c:pt>
                <c:pt idx="42">
                  <c:v>1.2995139496451833</c:v>
                </c:pt>
                <c:pt idx="43">
                  <c:v>1.3042642817795924</c:v>
                </c:pt>
                <c:pt idx="44">
                  <c:v>1.3090146139140015</c:v>
                </c:pt>
                <c:pt idx="45">
                  <c:v>1.3137649460484107</c:v>
                </c:pt>
                <c:pt idx="46">
                  <c:v>1.3185152781828198</c:v>
                </c:pt>
                <c:pt idx="47">
                  <c:v>1.3232656103172289</c:v>
                </c:pt>
                <c:pt idx="48">
                  <c:v>1.328015942451638</c:v>
                </c:pt>
                <c:pt idx="49">
                  <c:v>1.3327662745860471</c:v>
                </c:pt>
                <c:pt idx="50">
                  <c:v>1.3375166067204562</c:v>
                </c:pt>
                <c:pt idx="51">
                  <c:v>1.3422669388548654</c:v>
                </c:pt>
                <c:pt idx="52">
                  <c:v>1.3470172709892745</c:v>
                </c:pt>
                <c:pt idx="53">
                  <c:v>1.3517676031236836</c:v>
                </c:pt>
                <c:pt idx="54">
                  <c:v>1.3565179352580927</c:v>
                </c:pt>
                <c:pt idx="55">
                  <c:v>1.3612682673925018</c:v>
                </c:pt>
                <c:pt idx="56">
                  <c:v>1.366018599526911</c:v>
                </c:pt>
                <c:pt idx="57">
                  <c:v>1.3707689316613201</c:v>
                </c:pt>
                <c:pt idx="58">
                  <c:v>1.3755192637957292</c:v>
                </c:pt>
                <c:pt idx="59">
                  <c:v>1.3802695959301383</c:v>
                </c:pt>
                <c:pt idx="60">
                  <c:v>1.3850199280645474</c:v>
                </c:pt>
                <c:pt idx="61">
                  <c:v>1.3897702601989566</c:v>
                </c:pt>
                <c:pt idx="62">
                  <c:v>1.3945205923333659</c:v>
                </c:pt>
                <c:pt idx="63">
                  <c:v>1.3992709244677748</c:v>
                </c:pt>
                <c:pt idx="64">
                  <c:v>1.4040212566021841</c:v>
                </c:pt>
                <c:pt idx="65">
                  <c:v>1.408771588736593</c:v>
                </c:pt>
                <c:pt idx="66">
                  <c:v>1.4135219208710024</c:v>
                </c:pt>
                <c:pt idx="67">
                  <c:v>1.4182722530054113</c:v>
                </c:pt>
                <c:pt idx="68">
                  <c:v>1.4230225851398206</c:v>
                </c:pt>
                <c:pt idx="69">
                  <c:v>1.4277729172742295</c:v>
                </c:pt>
                <c:pt idx="70">
                  <c:v>1.4325232494086388</c:v>
                </c:pt>
                <c:pt idx="71">
                  <c:v>1.4372735815430477</c:v>
                </c:pt>
                <c:pt idx="72">
                  <c:v>1.4420239136774571</c:v>
                </c:pt>
                <c:pt idx="73">
                  <c:v>1.446774245811866</c:v>
                </c:pt>
                <c:pt idx="74">
                  <c:v>1.4515245779462753</c:v>
                </c:pt>
                <c:pt idx="75">
                  <c:v>1.4562749100806844</c:v>
                </c:pt>
                <c:pt idx="76">
                  <c:v>1.4610252422150936</c:v>
                </c:pt>
                <c:pt idx="77">
                  <c:v>1.4657755743495027</c:v>
                </c:pt>
                <c:pt idx="78">
                  <c:v>1.4705259064839118</c:v>
                </c:pt>
                <c:pt idx="79">
                  <c:v>1.4752762386183209</c:v>
                </c:pt>
                <c:pt idx="80">
                  <c:v>1.48002657075273</c:v>
                </c:pt>
                <c:pt idx="81">
                  <c:v>1.4847769028871391</c:v>
                </c:pt>
                <c:pt idx="82">
                  <c:v>1.4895272350215483</c:v>
                </c:pt>
                <c:pt idx="83">
                  <c:v>1.4942775671559574</c:v>
                </c:pt>
                <c:pt idx="84">
                  <c:v>1.4990278992903665</c:v>
                </c:pt>
                <c:pt idx="85">
                  <c:v>1.5037782314247756</c:v>
                </c:pt>
                <c:pt idx="86">
                  <c:v>1.5085285635591847</c:v>
                </c:pt>
                <c:pt idx="87">
                  <c:v>1.5132788956935939</c:v>
                </c:pt>
                <c:pt idx="88">
                  <c:v>1.518029227828003</c:v>
                </c:pt>
                <c:pt idx="89">
                  <c:v>1.5227795599624123</c:v>
                </c:pt>
                <c:pt idx="90">
                  <c:v>1.5275298920968212</c:v>
                </c:pt>
                <c:pt idx="91">
                  <c:v>1.5322802242312306</c:v>
                </c:pt>
                <c:pt idx="92">
                  <c:v>1.5370305563656395</c:v>
                </c:pt>
                <c:pt idx="93">
                  <c:v>1.5417808885000488</c:v>
                </c:pt>
                <c:pt idx="94">
                  <c:v>1.5465312206344577</c:v>
                </c:pt>
                <c:pt idx="95">
                  <c:v>1.5512815527688668</c:v>
                </c:pt>
                <c:pt idx="96">
                  <c:v>1.5560318849032759</c:v>
                </c:pt>
                <c:pt idx="97">
                  <c:v>1.560782217037685</c:v>
                </c:pt>
                <c:pt idx="98">
                  <c:v>1.5655325491720942</c:v>
                </c:pt>
                <c:pt idx="99">
                  <c:v>1.5702828813065035</c:v>
                </c:pt>
                <c:pt idx="100">
                  <c:v>1.5750332134409124</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Single'!$AK$5:$AK$105</c:f>
              <c:numCache>
                <c:formatCode>0.000</c:formatCode>
                <c:ptCount val="101"/>
                <c:pt idx="0">
                  <c:v>1.0068571428571429</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1.2070891105641042</c:v>
                </c:pt>
                <c:pt idx="31">
                  <c:v>1.2088592984305488</c:v>
                </c:pt>
                <c:pt idx="32">
                  <c:v>1.2106011578066507</c:v>
                </c:pt>
                <c:pt idx="33">
                  <c:v>1.212316006702304</c:v>
                </c:pt>
                <c:pt idx="34">
                  <c:v>1.214005063988107</c:v>
                </c:pt>
                <c:pt idx="35">
                  <c:v>1.2156694595315147</c:v>
                </c:pt>
                <c:pt idx="36">
                  <c:v>1.2173102430382492</c:v>
                </c:pt>
                <c:pt idx="37">
                  <c:v>1.21892839179554</c:v>
                </c:pt>
                <c:pt idx="38">
                  <c:v>1.2205248174794463</c:v>
                </c:pt>
                <c:pt idx="39">
                  <c:v>1.222100372160916</c:v>
                </c:pt>
                <c:pt idx="40">
                  <c:v>1.2236558536229263</c:v>
                </c:pt>
                <c:pt idx="41">
                  <c:v>1.2251920100828919</c:v>
                </c:pt>
                <c:pt idx="42">
                  <c:v>1.2267095443996832</c:v>
                </c:pt>
                <c:pt idx="43">
                  <c:v>1.2282091178323744</c:v>
                </c:pt>
                <c:pt idx="44">
                  <c:v>1.2296913534077583</c:v>
                </c:pt>
                <c:pt idx="45">
                  <c:v>1.2311568389452734</c:v>
                </c:pt>
                <c:pt idx="46">
                  <c:v>1.2326061297810051</c:v>
                </c:pt>
                <c:pt idx="47">
                  <c:v>1.2340397512265564</c:v>
                </c:pt>
                <c:pt idx="48">
                  <c:v>1.2411023622047244</c:v>
                </c:pt>
                <c:pt idx="49">
                  <c:v>1.2440419947506562</c:v>
                </c:pt>
                <c:pt idx="50">
                  <c:v>1.2469816272965879</c:v>
                </c:pt>
                <c:pt idx="51">
                  <c:v>1.2499212598425196</c:v>
                </c:pt>
                <c:pt idx="52">
                  <c:v>1.2528608923884514</c:v>
                </c:pt>
                <c:pt idx="53">
                  <c:v>1.2558005249343831</c:v>
                </c:pt>
                <c:pt idx="54">
                  <c:v>1.258740157480315</c:v>
                </c:pt>
                <c:pt idx="55">
                  <c:v>1.2616797900262466</c:v>
                </c:pt>
                <c:pt idx="56">
                  <c:v>1.2646194225721785</c:v>
                </c:pt>
                <c:pt idx="57">
                  <c:v>1.2675590551181102</c:v>
                </c:pt>
                <c:pt idx="58">
                  <c:v>1.2704986876640418</c:v>
                </c:pt>
                <c:pt idx="59">
                  <c:v>1.2734383202099737</c:v>
                </c:pt>
                <c:pt idx="60">
                  <c:v>1.2763779527559054</c:v>
                </c:pt>
                <c:pt idx="61">
                  <c:v>1.2793175853018373</c:v>
                </c:pt>
                <c:pt idx="62">
                  <c:v>1.2822572178477691</c:v>
                </c:pt>
                <c:pt idx="63">
                  <c:v>1.2851968503937008</c:v>
                </c:pt>
                <c:pt idx="64">
                  <c:v>1.2881364829396325</c:v>
                </c:pt>
                <c:pt idx="65">
                  <c:v>1.2910761154855643</c:v>
                </c:pt>
                <c:pt idx="66">
                  <c:v>1.294015748031496</c:v>
                </c:pt>
                <c:pt idx="67">
                  <c:v>1.2969553805774279</c:v>
                </c:pt>
                <c:pt idx="68">
                  <c:v>1.2998950131233595</c:v>
                </c:pt>
                <c:pt idx="69">
                  <c:v>1.3028346456692912</c:v>
                </c:pt>
                <c:pt idx="70">
                  <c:v>1.3057742782152231</c:v>
                </c:pt>
                <c:pt idx="71">
                  <c:v>1.3087139107611547</c:v>
                </c:pt>
                <c:pt idx="72">
                  <c:v>1.3116535433070866</c:v>
                </c:pt>
                <c:pt idx="73">
                  <c:v>1.3145931758530183</c:v>
                </c:pt>
                <c:pt idx="74">
                  <c:v>1.3175328083989502</c:v>
                </c:pt>
                <c:pt idx="75">
                  <c:v>1.3204724409448818</c:v>
                </c:pt>
                <c:pt idx="76">
                  <c:v>1.3234120734908137</c:v>
                </c:pt>
                <c:pt idx="77">
                  <c:v>1.3263517060367453</c:v>
                </c:pt>
                <c:pt idx="78">
                  <c:v>1.3292913385826772</c:v>
                </c:pt>
                <c:pt idx="79">
                  <c:v>1.3322309711286089</c:v>
                </c:pt>
                <c:pt idx="80">
                  <c:v>1.3351706036745408</c:v>
                </c:pt>
                <c:pt idx="81">
                  <c:v>1.3381102362204724</c:v>
                </c:pt>
                <c:pt idx="82">
                  <c:v>1.3410498687664041</c:v>
                </c:pt>
                <c:pt idx="83">
                  <c:v>1.343989501312336</c:v>
                </c:pt>
                <c:pt idx="84">
                  <c:v>1.3469291338582676</c:v>
                </c:pt>
                <c:pt idx="85">
                  <c:v>1.3498687664041995</c:v>
                </c:pt>
                <c:pt idx="86">
                  <c:v>1.3528083989501312</c:v>
                </c:pt>
                <c:pt idx="87">
                  <c:v>1.355748031496063</c:v>
                </c:pt>
                <c:pt idx="88">
                  <c:v>1.3586876640419947</c:v>
                </c:pt>
                <c:pt idx="89">
                  <c:v>1.3616272965879266</c:v>
                </c:pt>
                <c:pt idx="90">
                  <c:v>1.3645669291338582</c:v>
                </c:pt>
                <c:pt idx="91">
                  <c:v>1.3675065616797901</c:v>
                </c:pt>
                <c:pt idx="92">
                  <c:v>1.3704461942257218</c:v>
                </c:pt>
                <c:pt idx="93">
                  <c:v>1.3733858267716537</c:v>
                </c:pt>
                <c:pt idx="94">
                  <c:v>1.3763254593175853</c:v>
                </c:pt>
                <c:pt idx="95">
                  <c:v>1.379265091863517</c:v>
                </c:pt>
                <c:pt idx="96">
                  <c:v>1.3822047244094489</c:v>
                </c:pt>
                <c:pt idx="97">
                  <c:v>1.3851443569553805</c:v>
                </c:pt>
                <c:pt idx="98">
                  <c:v>1.3880839895013124</c:v>
                </c:pt>
                <c:pt idx="99">
                  <c:v>1.3910236220472441</c:v>
                </c:pt>
                <c:pt idx="100">
                  <c:v>1.3939632545931757</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1.2015936505952505</c:v>
                </c:pt>
                <c:pt idx="31">
                  <c:v>1.2032729982585582</c:v>
                </c:pt>
                <c:pt idx="32">
                  <c:v>1.2049254711562187</c:v>
                </c:pt>
                <c:pt idx="33">
                  <c:v>1.2065523196622054</c:v>
                </c:pt>
                <c:pt idx="34">
                  <c:v>1.2081547000986972</c:v>
                </c:pt>
                <c:pt idx="35">
                  <c:v>1.2097336843520778</c:v>
                </c:pt>
                <c:pt idx="36">
                  <c:v>1.2112902682606337</c:v>
                </c:pt>
                <c:pt idx="37">
                  <c:v>1.2128253789604366</c:v>
                </c:pt>
                <c:pt idx="38">
                  <c:v>1.2143398813433373</c:v>
                </c:pt>
                <c:pt idx="39">
                  <c:v>1.215834583754813</c:v>
                </c:pt>
                <c:pt idx="40">
                  <c:v>1.2173102430382492</c:v>
                </c:pt>
                <c:pt idx="41">
                  <c:v>1.2187675690150113</c:v>
                </c:pt>
                <c:pt idx="42">
                  <c:v>1.2202072284755696</c:v>
                </c:pt>
                <c:pt idx="43">
                  <c:v>1.2216298487453638</c:v>
                </c:pt>
                <c:pt idx="44">
                  <c:v>1.2230360208795068</c:v>
                </c:pt>
                <c:pt idx="45">
                  <c:v>1.224426302532482</c:v>
                </c:pt>
                <c:pt idx="46">
                  <c:v>1.2258012205423583</c:v>
                </c:pt>
                <c:pt idx="47">
                  <c:v>1.22716127326348</c:v>
                </c:pt>
                <c:pt idx="48">
                  <c:v>1.2285069326769249</c:v>
                </c:pt>
                <c:pt idx="49">
                  <c:v>1.2298386463040727</c:v>
                </c:pt>
                <c:pt idx="50">
                  <c:v>1.2434542904359176</c:v>
                </c:pt>
                <c:pt idx="51">
                  <c:v>1.246323376244636</c:v>
                </c:pt>
                <c:pt idx="52">
                  <c:v>1.2491924620533543</c:v>
                </c:pt>
                <c:pt idx="53">
                  <c:v>1.2520615478620727</c:v>
                </c:pt>
                <c:pt idx="54">
                  <c:v>1.2549306336707911</c:v>
                </c:pt>
                <c:pt idx="55">
                  <c:v>1.2577997194795094</c:v>
                </c:pt>
                <c:pt idx="56">
                  <c:v>1.2606688052882278</c:v>
                </c:pt>
                <c:pt idx="57">
                  <c:v>1.2635378910969461</c:v>
                </c:pt>
                <c:pt idx="58">
                  <c:v>1.2664069769056645</c:v>
                </c:pt>
                <c:pt idx="59">
                  <c:v>1.2692760627143829</c:v>
                </c:pt>
                <c:pt idx="60">
                  <c:v>1.2721451485231012</c:v>
                </c:pt>
                <c:pt idx="61">
                  <c:v>1.2750142343318196</c:v>
                </c:pt>
                <c:pt idx="62">
                  <c:v>1.277883320140538</c:v>
                </c:pt>
                <c:pt idx="63">
                  <c:v>1.2807524059492563</c:v>
                </c:pt>
                <c:pt idx="64">
                  <c:v>1.2836214917579747</c:v>
                </c:pt>
                <c:pt idx="65">
                  <c:v>1.286490577566693</c:v>
                </c:pt>
                <c:pt idx="66">
                  <c:v>1.2893596633754114</c:v>
                </c:pt>
                <c:pt idx="67">
                  <c:v>1.2922287491841298</c:v>
                </c:pt>
                <c:pt idx="68">
                  <c:v>1.2950978349928481</c:v>
                </c:pt>
                <c:pt idx="69">
                  <c:v>1.2979669208015665</c:v>
                </c:pt>
                <c:pt idx="70">
                  <c:v>1.3008360066102849</c:v>
                </c:pt>
                <c:pt idx="71">
                  <c:v>1.303705092419003</c:v>
                </c:pt>
                <c:pt idx="72">
                  <c:v>1.3065741782277214</c:v>
                </c:pt>
                <c:pt idx="73">
                  <c:v>1.3094432640364397</c:v>
                </c:pt>
                <c:pt idx="74">
                  <c:v>1.3123123498451581</c:v>
                </c:pt>
                <c:pt idx="75">
                  <c:v>1.3151814356538767</c:v>
                </c:pt>
                <c:pt idx="76">
                  <c:v>1.3180505214625948</c:v>
                </c:pt>
                <c:pt idx="77">
                  <c:v>1.3209196072713132</c:v>
                </c:pt>
                <c:pt idx="78">
                  <c:v>1.3237886930800316</c:v>
                </c:pt>
                <c:pt idx="79">
                  <c:v>1.3266577788887499</c:v>
                </c:pt>
                <c:pt idx="80">
                  <c:v>1.3295268646974683</c:v>
                </c:pt>
                <c:pt idx="81">
                  <c:v>1.3323959505061866</c:v>
                </c:pt>
                <c:pt idx="82">
                  <c:v>1.335265036314905</c:v>
                </c:pt>
                <c:pt idx="83">
                  <c:v>1.3381341221236234</c:v>
                </c:pt>
                <c:pt idx="84">
                  <c:v>1.3410032079323417</c:v>
                </c:pt>
                <c:pt idx="85">
                  <c:v>1.3438722937410601</c:v>
                </c:pt>
                <c:pt idx="86">
                  <c:v>1.3467413795497785</c:v>
                </c:pt>
                <c:pt idx="87">
                  <c:v>1.3496104653584968</c:v>
                </c:pt>
                <c:pt idx="88">
                  <c:v>1.3524795511672152</c:v>
                </c:pt>
                <c:pt idx="89">
                  <c:v>1.3553486369759336</c:v>
                </c:pt>
                <c:pt idx="90">
                  <c:v>1.3582177227846519</c:v>
                </c:pt>
                <c:pt idx="91">
                  <c:v>1.3610868085933703</c:v>
                </c:pt>
                <c:pt idx="92">
                  <c:v>1.3639558944020886</c:v>
                </c:pt>
                <c:pt idx="93">
                  <c:v>1.366824980210807</c:v>
                </c:pt>
                <c:pt idx="94">
                  <c:v>1.3696940660195254</c:v>
                </c:pt>
                <c:pt idx="95">
                  <c:v>1.3725631518282437</c:v>
                </c:pt>
                <c:pt idx="96">
                  <c:v>1.3754322376369621</c:v>
                </c:pt>
                <c:pt idx="97">
                  <c:v>1.3783013234456805</c:v>
                </c:pt>
                <c:pt idx="98">
                  <c:v>1.3811704092543988</c:v>
                </c:pt>
                <c:pt idx="99">
                  <c:v>1.3840394950631172</c:v>
                </c:pt>
                <c:pt idx="100">
                  <c:v>1.3869085808718356</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Single'!$CD$5:$CD$105</c:f>
              <c:numCache>
                <c:formatCode>0.00</c:formatCode>
                <c:ptCount val="101"/>
                <c:pt idx="0">
                  <c:v>9.9617790012688953E-5</c:v>
                </c:pt>
                <c:pt idx="1">
                  <c:v>49.425264961519325</c:v>
                </c:pt>
                <c:pt idx="2">
                  <c:v>63.784973800901092</c:v>
                </c:pt>
                <c:pt idx="3">
                  <c:v>70.624565950097093</c:v>
                </c:pt>
                <c:pt idx="4">
                  <c:v>74.625560835799206</c:v>
                </c:pt>
                <c:pt idx="5">
                  <c:v>77.251398575435147</c:v>
                </c:pt>
                <c:pt idx="6">
                  <c:v>79.107073667619261</c:v>
                </c:pt>
                <c:pt idx="7">
                  <c:v>80.488081844156767</c:v>
                </c:pt>
                <c:pt idx="8">
                  <c:v>81.55589232175096</c:v>
                </c:pt>
                <c:pt idx="9">
                  <c:v>82.406196198149473</c:v>
                </c:pt>
                <c:pt idx="10">
                  <c:v>83.099305739859929</c:v>
                </c:pt>
                <c:pt idx="11">
                  <c:v>83.675121283840227</c:v>
                </c:pt>
                <c:pt idx="12">
                  <c:v>84.161092815169226</c:v>
                </c:pt>
                <c:pt idx="13">
                  <c:v>84.576724754333711</c:v>
                </c:pt>
                <c:pt idx="14">
                  <c:v>84.936256823760743</c:v>
                </c:pt>
                <c:pt idx="15">
                  <c:v>85.250328088017795</c:v>
                </c:pt>
                <c:pt idx="16">
                  <c:v>85.527047366121209</c:v>
                </c:pt>
                <c:pt idx="17">
                  <c:v>85.772703215900322</c:v>
                </c:pt>
                <c:pt idx="18">
                  <c:v>85.992247556654462</c:v>
                </c:pt>
                <c:pt idx="19">
                  <c:v>86.189632880156282</c:v>
                </c:pt>
                <c:pt idx="20">
                  <c:v>86.368052278131358</c:v>
                </c:pt>
                <c:pt idx="21">
                  <c:v>86.530113464725972</c:v>
                </c:pt>
                <c:pt idx="22">
                  <c:v>86.677967041765726</c:v>
                </c:pt>
                <c:pt idx="23">
                  <c:v>86.813402454059769</c:v>
                </c:pt>
                <c:pt idx="24">
                  <c:v>86.937920747505729</c:v>
                </c:pt>
                <c:pt idx="25">
                  <c:v>87.0527904191717</c:v>
                </c:pt>
                <c:pt idx="26">
                  <c:v>87.159090772497819</c:v>
                </c:pt>
                <c:pt idx="27">
                  <c:v>87.13658694207308</c:v>
                </c:pt>
                <c:pt idx="28">
                  <c:v>87.089066504158012</c:v>
                </c:pt>
                <c:pt idx="29">
                  <c:v>87.040189472377321</c:v>
                </c:pt>
                <c:pt idx="30">
                  <c:v>87.219378259546559</c:v>
                </c:pt>
                <c:pt idx="31">
                  <c:v>87.403863708678614</c:v>
                </c:pt>
                <c:pt idx="32">
                  <c:v>87.578014427136637</c:v>
                </c:pt>
                <c:pt idx="33">
                  <c:v>87.742698128556043</c:v>
                </c:pt>
                <c:pt idx="34">
                  <c:v>87.898687262730746</c:v>
                </c:pt>
                <c:pt idx="35">
                  <c:v>88.046671790503424</c:v>
                </c:pt>
                <c:pt idx="36">
                  <c:v>88.187269951905819</c:v>
                </c:pt>
                <c:pt idx="37">
                  <c:v>88.32103738648965</c:v>
                </c:pt>
                <c:pt idx="38">
                  <c:v>88.448474893164715</c:v>
                </c:pt>
                <c:pt idx="39">
                  <c:v>88.570035060936647</c:v>
                </c:pt>
                <c:pt idx="40">
                  <c:v>88.686127957977632</c:v>
                </c:pt>
                <c:pt idx="41">
                  <c:v>88.797126031688549</c:v>
                </c:pt>
                <c:pt idx="42">
                  <c:v>88.903368344736265</c:v>
                </c:pt>
                <c:pt idx="43">
                  <c:v>89.00516424989884</c:v>
                </c:pt>
                <c:pt idx="44">
                  <c:v>89.16332185066733</c:v>
                </c:pt>
                <c:pt idx="45">
                  <c:v>89.382376732740624</c:v>
                </c:pt>
                <c:pt idx="46">
                  <c:v>89.589717328470428</c:v>
                </c:pt>
                <c:pt idx="47">
                  <c:v>89.786188495699349</c:v>
                </c:pt>
                <c:pt idx="48">
                  <c:v>89.649621245672861</c:v>
                </c:pt>
                <c:pt idx="49">
                  <c:v>89.745069652942476</c:v>
                </c:pt>
                <c:pt idx="50">
                  <c:v>89.833381439774101</c:v>
                </c:pt>
                <c:pt idx="51">
                  <c:v>89.915059489162687</c:v>
                </c:pt>
                <c:pt idx="52">
                  <c:v>89.990563062253258</c:v>
                </c:pt>
                <c:pt idx="53">
                  <c:v>90.06031225521258</c:v>
                </c:pt>
                <c:pt idx="54">
                  <c:v>90.124691936294226</c:v>
                </c:pt>
                <c:pt idx="55">
                  <c:v>90.184055230767072</c:v>
                </c:pt>
                <c:pt idx="56">
                  <c:v>90.238726611709467</c:v>
                </c:pt>
                <c:pt idx="57">
                  <c:v>90.28900464649918</c:v>
                </c:pt>
                <c:pt idx="58">
                  <c:v>90.335164441904652</c:v>
                </c:pt>
                <c:pt idx="59">
                  <c:v>90.377459824802315</c:v>
                </c:pt>
                <c:pt idx="60">
                  <c:v>90.416125290538673</c:v>
                </c:pt>
                <c:pt idx="61">
                  <c:v>90.451377746684969</c:v>
                </c:pt>
                <c:pt idx="62">
                  <c:v>90.483418076280515</c:v>
                </c:pt>
                <c:pt idx="63">
                  <c:v>90.512432541531695</c:v>
                </c:pt>
                <c:pt idx="64">
                  <c:v>90.538594046247027</c:v>
                </c:pt>
                <c:pt idx="65">
                  <c:v>90.562063272975905</c:v>
                </c:pt>
                <c:pt idx="66">
                  <c:v>90.582989708826346</c:v>
                </c:pt>
                <c:pt idx="67">
                  <c:v>90.601512572213664</c:v>
                </c:pt>
                <c:pt idx="68">
                  <c:v>90.617761651302075</c:v>
                </c:pt>
                <c:pt idx="69">
                  <c:v>90.631858063608163</c:v>
                </c:pt>
                <c:pt idx="70">
                  <c:v>90.643914945111234</c:v>
                </c:pt>
                <c:pt idx="71">
                  <c:v>90.654038076238834</c:v>
                </c:pt>
                <c:pt idx="72">
                  <c:v>90.66232645124191</c:v>
                </c:pt>
                <c:pt idx="73">
                  <c:v>90.668872796730099</c:v>
                </c:pt>
                <c:pt idx="74">
                  <c:v>90.673764044485367</c:v>
                </c:pt>
                <c:pt idx="75">
                  <c:v>90.67708176310127</c:v>
                </c:pt>
                <c:pt idx="76">
                  <c:v>90.678902552493639</c:v>
                </c:pt>
                <c:pt idx="77">
                  <c:v>90.679298404887192</c:v>
                </c:pt>
                <c:pt idx="78">
                  <c:v>90.678337035494621</c:v>
                </c:pt>
                <c:pt idx="79">
                  <c:v>90.676082185761985</c:v>
                </c:pt>
                <c:pt idx="80">
                  <c:v>90.672593901751824</c:v>
                </c:pt>
                <c:pt idx="81">
                  <c:v>90.667928789967334</c:v>
                </c:pt>
                <c:pt idx="82">
                  <c:v>90.662140252684338</c:v>
                </c:pt>
                <c:pt idx="83">
                  <c:v>90.655278704647145</c:v>
                </c:pt>
                <c:pt idx="84">
                  <c:v>90.647391772797519</c:v>
                </c:pt>
                <c:pt idx="85">
                  <c:v>90.638524480539644</c:v>
                </c:pt>
                <c:pt idx="86">
                  <c:v>90.628719417896392</c:v>
                </c:pt>
                <c:pt idx="87">
                  <c:v>90.618016898779345</c:v>
                </c:pt>
                <c:pt idx="88">
                  <c:v>90.606455106477625</c:v>
                </c:pt>
                <c:pt idx="89">
                  <c:v>90.594070228365368</c:v>
                </c:pt>
                <c:pt idx="90">
                  <c:v>90.580896580732357</c:v>
                </c:pt>
                <c:pt idx="91">
                  <c:v>90.566966724558768</c:v>
                </c:pt>
                <c:pt idx="92">
                  <c:v>90.552311572978425</c:v>
                </c:pt>
                <c:pt idx="93">
                  <c:v>90.536960491106896</c:v>
                </c:pt>
                <c:pt idx="94">
                  <c:v>90.520941388849735</c:v>
                </c:pt>
                <c:pt idx="95">
                  <c:v>90.504280807250296</c:v>
                </c:pt>
                <c:pt idx="96">
                  <c:v>90.487003998887758</c:v>
                </c:pt>
                <c:pt idx="97">
                  <c:v>90.469135002789912</c:v>
                </c:pt>
                <c:pt idx="98">
                  <c:v>90.450696714285925</c:v>
                </c:pt>
                <c:pt idx="99">
                  <c:v>90.431710950186556</c:v>
                </c:pt>
                <c:pt idx="100">
                  <c:v>90.412198509646998</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5.6526453819999993</c:v>
                </c:pt>
                <c:pt idx="1">
                  <c:v>6.0343776000000027</c:v>
                </c:pt>
                <c:pt idx="2">
                  <c:v>6.3387551999999996</c:v>
                </c:pt>
                <c:pt idx="3">
                  <c:v>6.6431328000000009</c:v>
                </c:pt>
                <c:pt idx="4">
                  <c:v>6.9475104000000005</c:v>
                </c:pt>
                <c:pt idx="5">
                  <c:v>7.251888000000001</c:v>
                </c:pt>
                <c:pt idx="6">
                  <c:v>7.5562656000000015</c:v>
                </c:pt>
                <c:pt idx="7">
                  <c:v>7.8606432000000011</c:v>
                </c:pt>
                <c:pt idx="8">
                  <c:v>8.1650208000000006</c:v>
                </c:pt>
                <c:pt idx="9">
                  <c:v>8.4693984000000011</c:v>
                </c:pt>
                <c:pt idx="10">
                  <c:v>8.7737760000000016</c:v>
                </c:pt>
                <c:pt idx="11">
                  <c:v>9.078153600000002</c:v>
                </c:pt>
                <c:pt idx="12">
                  <c:v>9.3825312000000007</c:v>
                </c:pt>
                <c:pt idx="13">
                  <c:v>9.6869087999999994</c:v>
                </c:pt>
                <c:pt idx="14">
                  <c:v>9.9912864000000017</c:v>
                </c:pt>
                <c:pt idx="15">
                  <c:v>10.295664</c:v>
                </c:pt>
                <c:pt idx="16">
                  <c:v>10.600041600000001</c:v>
                </c:pt>
                <c:pt idx="17">
                  <c:v>10.904419200000001</c:v>
                </c:pt>
                <c:pt idx="18">
                  <c:v>11.2087968</c:v>
                </c:pt>
                <c:pt idx="19">
                  <c:v>11.513174400000002</c:v>
                </c:pt>
                <c:pt idx="20">
                  <c:v>11.817552000000004</c:v>
                </c:pt>
                <c:pt idx="21">
                  <c:v>12.121929600000001</c:v>
                </c:pt>
                <c:pt idx="22">
                  <c:v>12.4263072</c:v>
                </c:pt>
                <c:pt idx="23">
                  <c:v>12.730684800000001</c:v>
                </c:pt>
                <c:pt idx="24">
                  <c:v>13.035062400000001</c:v>
                </c:pt>
                <c:pt idx="25">
                  <c:v>13.339440000000003</c:v>
                </c:pt>
                <c:pt idx="26">
                  <c:v>13.643817600000002</c:v>
                </c:pt>
                <c:pt idx="27">
                  <c:v>14.030478090807657</c:v>
                </c:pt>
                <c:pt idx="28">
                  <c:v>14.422348990484741</c:v>
                </c:pt>
                <c:pt idx="29">
                  <c:v>14.802708179647306</c:v>
                </c:pt>
                <c:pt idx="30">
                  <c:v>15.260370540324757</c:v>
                </c:pt>
                <c:pt idx="31">
                  <c:v>15.7217207455581</c:v>
                </c:pt>
                <c:pt idx="32">
                  <c:v>16.18079931914469</c:v>
                </c:pt>
                <c:pt idx="33">
                  <c:v>16.637642045998035</c:v>
                </c:pt>
                <c:pt idx="34">
                  <c:v>17.092283071212318</c:v>
                </c:pt>
                <c:pt idx="35">
                  <c:v>17.544755021611355</c:v>
                </c:pt>
                <c:pt idx="36">
                  <c:v>17.995089115045275</c:v>
                </c:pt>
                <c:pt idx="37">
                  <c:v>18.443315258978501</c:v>
                </c:pt>
                <c:pt idx="38">
                  <c:v>18.889462139681505</c:v>
                </c:pt>
                <c:pt idx="39">
                  <c:v>19.333557303147494</c:v>
                </c:pt>
                <c:pt idx="40">
                  <c:v>19.775627228695633</c:v>
                </c:pt>
                <c:pt idx="41">
                  <c:v>20.215697396089467</c:v>
                </c:pt>
                <c:pt idx="42">
                  <c:v>20.653792346887201</c:v>
                </c:pt>
                <c:pt idx="43">
                  <c:v>21.089935740645881</c:v>
                </c:pt>
                <c:pt idx="44">
                  <c:v>21.575590924773493</c:v>
                </c:pt>
                <c:pt idx="45">
                  <c:v>22.121599160850486</c:v>
                </c:pt>
                <c:pt idx="46">
                  <c:v>22.66821554184088</c:v>
                </c:pt>
                <c:pt idx="47">
                  <c:v>23.215420341195589</c:v>
                </c:pt>
                <c:pt idx="48">
                  <c:v>23.994908384483438</c:v>
                </c:pt>
                <c:pt idx="49">
                  <c:v>24.615152357267682</c:v>
                </c:pt>
                <c:pt idx="50">
                  <c:v>25.240308576913453</c:v>
                </c:pt>
                <c:pt idx="51">
                  <c:v>25.870377043420756</c:v>
                </c:pt>
                <c:pt idx="52">
                  <c:v>26.505357756789589</c:v>
                </c:pt>
                <c:pt idx="53">
                  <c:v>27.145250717019959</c:v>
                </c:pt>
                <c:pt idx="54">
                  <c:v>27.790055924111854</c:v>
                </c:pt>
                <c:pt idx="55">
                  <c:v>28.439773378065283</c:v>
                </c:pt>
                <c:pt idx="56">
                  <c:v>29.094403078880237</c:v>
                </c:pt>
                <c:pt idx="57">
                  <c:v>29.753945026556714</c:v>
                </c:pt>
                <c:pt idx="58">
                  <c:v>30.418399221094738</c:v>
                </c:pt>
                <c:pt idx="59">
                  <c:v>31.087765662494284</c:v>
                </c:pt>
                <c:pt idx="60">
                  <c:v>31.762044350755364</c:v>
                </c:pt>
                <c:pt idx="61">
                  <c:v>32.44123528587798</c:v>
                </c:pt>
                <c:pt idx="62">
                  <c:v>33.125338467862129</c:v>
                </c:pt>
                <c:pt idx="63">
                  <c:v>33.8143538967078</c:v>
                </c:pt>
                <c:pt idx="64">
                  <c:v>34.508281572415001</c:v>
                </c:pt>
                <c:pt idx="65">
                  <c:v>35.207121494983738</c:v>
                </c:pt>
                <c:pt idx="66">
                  <c:v>35.910873664414005</c:v>
                </c:pt>
                <c:pt idx="67">
                  <c:v>36.619538080705794</c:v>
                </c:pt>
                <c:pt idx="68">
                  <c:v>37.333114743859127</c:v>
                </c:pt>
                <c:pt idx="69">
                  <c:v>38.051603653873975</c:v>
                </c:pt>
                <c:pt idx="70">
                  <c:v>38.775004810750367</c:v>
                </c:pt>
                <c:pt idx="71">
                  <c:v>39.503318214488282</c:v>
                </c:pt>
                <c:pt idx="72">
                  <c:v>40.236543865087739</c:v>
                </c:pt>
                <c:pt idx="73">
                  <c:v>40.97468176254872</c:v>
                </c:pt>
                <c:pt idx="74">
                  <c:v>41.717731906871229</c:v>
                </c:pt>
                <c:pt idx="75">
                  <c:v>42.465694298055276</c:v>
                </c:pt>
                <c:pt idx="76">
                  <c:v>43.218568936100844</c:v>
                </c:pt>
                <c:pt idx="77">
                  <c:v>43.976355821007957</c:v>
                </c:pt>
                <c:pt idx="78">
                  <c:v>44.739054952776584</c:v>
                </c:pt>
                <c:pt idx="79">
                  <c:v>45.506666331406755</c:v>
                </c:pt>
                <c:pt idx="80">
                  <c:v>46.279189956898449</c:v>
                </c:pt>
                <c:pt idx="81">
                  <c:v>47.056625829251672</c:v>
                </c:pt>
                <c:pt idx="82">
                  <c:v>47.838973948466418</c:v>
                </c:pt>
                <c:pt idx="83">
                  <c:v>48.626234314542707</c:v>
                </c:pt>
                <c:pt idx="84">
                  <c:v>49.418406927480532</c:v>
                </c:pt>
                <c:pt idx="85">
                  <c:v>50.215491787279873</c:v>
                </c:pt>
                <c:pt idx="86">
                  <c:v>51.017488893940758</c:v>
                </c:pt>
                <c:pt idx="87">
                  <c:v>51.824398247463172</c:v>
                </c:pt>
                <c:pt idx="88">
                  <c:v>52.636219847847109</c:v>
                </c:pt>
                <c:pt idx="89">
                  <c:v>53.452953695092596</c:v>
                </c:pt>
                <c:pt idx="90">
                  <c:v>54.274599789199591</c:v>
                </c:pt>
                <c:pt idx="91">
                  <c:v>55.101158130168137</c:v>
                </c:pt>
                <c:pt idx="92">
                  <c:v>55.932628717998192</c:v>
                </c:pt>
                <c:pt idx="93">
                  <c:v>56.769011552689783</c:v>
                </c:pt>
                <c:pt idx="94">
                  <c:v>57.610306634242903</c:v>
                </c:pt>
                <c:pt idx="95">
                  <c:v>58.45651396265756</c:v>
                </c:pt>
                <c:pt idx="96">
                  <c:v>59.307633537933746</c:v>
                </c:pt>
                <c:pt idx="97">
                  <c:v>60.163665360071469</c:v>
                </c:pt>
                <c:pt idx="98">
                  <c:v>61.024609429070715</c:v>
                </c:pt>
                <c:pt idx="99">
                  <c:v>61.890465744931497</c:v>
                </c:pt>
                <c:pt idx="100">
                  <c:v>62.761234307653815</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7.3290209212420061</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31.88594816708898</c:v>
                </c:pt>
                <c:pt idx="18">
                  <c:v>33.420596940308066</c:v>
                </c:pt>
                <c:pt idx="19">
                  <c:v>34.955265853146393</c:v>
                </c:pt>
                <c:pt idx="20">
                  <c:v>36.489954906000428</c:v>
                </c:pt>
                <c:pt idx="21">
                  <c:v>38.024664099266595</c:v>
                </c:pt>
                <c:pt idx="22">
                  <c:v>39.559393433341405</c:v>
                </c:pt>
                <c:pt idx="23">
                  <c:v>41.094142908621308</c:v>
                </c:pt>
                <c:pt idx="24">
                  <c:v>42.628912525502791</c:v>
                </c:pt>
                <c:pt idx="25">
                  <c:v>44.163702284382396</c:v>
                </c:pt>
                <c:pt idx="26">
                  <c:v>45.698512185656597</c:v>
                </c:pt>
                <c:pt idx="27">
                  <c:v>47.443403951849362</c:v>
                </c:pt>
                <c:pt idx="28">
                  <c:v>49.243144928704808</c:v>
                </c:pt>
                <c:pt idx="29">
                  <c:v>51.059080116244594</c:v>
                </c:pt>
                <c:pt idx="30">
                  <c:v>51.424998984830829</c:v>
                </c:pt>
                <c:pt idx="31">
                  <c:v>51.685660318086434</c:v>
                </c:pt>
                <c:pt idx="32">
                  <c:v>51.944520187483022</c:v>
                </c:pt>
                <c:pt idx="33">
                  <c:v>52.201699443459717</c:v>
                </c:pt>
                <c:pt idx="34">
                  <c:v>52.457309301560358</c:v>
                </c:pt>
                <c:pt idx="35">
                  <c:v>52.711452351646329</c:v>
                </c:pt>
                <c:pt idx="36">
                  <c:v>52.964223436484502</c:v>
                </c:pt>
                <c:pt idx="37">
                  <c:v>53.215710419707975</c:v>
                </c:pt>
                <c:pt idx="38">
                  <c:v>53.465994859635586</c:v>
                </c:pt>
                <c:pt idx="39">
                  <c:v>53.715152602615532</c:v>
                </c:pt>
                <c:pt idx="40">
                  <c:v>53.96325430728028</c:v>
                </c:pt>
                <c:pt idx="41">
                  <c:v>54.210365909248303</c:v>
                </c:pt>
                <c:pt idx="42">
                  <c:v>54.456549034294675</c:v>
                </c:pt>
                <c:pt idx="43">
                  <c:v>54.70186136676957</c:v>
                </c:pt>
                <c:pt idx="44">
                  <c:v>54.432470466327047</c:v>
                </c:pt>
                <c:pt idx="45">
                  <c:v>53.587111026863319</c:v>
                </c:pt>
                <c:pt idx="46">
                  <c:v>52.77781216558391</c:v>
                </c:pt>
                <c:pt idx="47">
                  <c:v>52.002313764221597</c:v>
                </c:pt>
                <c:pt idx="48">
                  <c:v>52.148302704882909</c:v>
                </c:pt>
                <c:pt idx="49">
                  <c:v>51.66709148049928</c:v>
                </c:pt>
                <c:pt idx="50">
                  <c:v>51.212807158277982</c:v>
                </c:pt>
                <c:pt idx="51">
                  <c:v>50.784019726790625</c:v>
                </c:pt>
                <c:pt idx="52">
                  <c:v>50.379409207311539</c:v>
                </c:pt>
                <c:pt idx="53">
                  <c:v>49.997755274002721</c:v>
                </c:pt>
                <c:pt idx="54">
                  <c:v>49.637928027411789</c:v>
                </c:pt>
                <c:pt idx="55">
                  <c:v>49.298879774497934</c:v>
                </c:pt>
                <c:pt idx="56">
                  <c:v>48.979637689369412</c:v>
                </c:pt>
                <c:pt idx="57">
                  <c:v>48.679297246575452</c:v>
                </c:pt>
                <c:pt idx="58">
                  <c:v>48.397016333712919</c:v>
                </c:pt>
                <c:pt idx="59">
                  <c:v>48.13200996275139</c:v>
                </c:pt>
                <c:pt idx="60">
                  <c:v>47.883545510225801</c:v>
                </c:pt>
                <c:pt idx="61">
                  <c:v>47.650938425607329</c:v>
                </c:pt>
                <c:pt idx="62">
                  <c:v>47.433548354993441</c:v>
                </c:pt>
                <c:pt idx="63">
                  <c:v>47.230775633970481</c:v>
                </c:pt>
                <c:pt idx="64">
                  <c:v>47.04205810927094</c:v>
                </c:pt>
                <c:pt idx="65">
                  <c:v>46.866868253816143</c:v>
                </c:pt>
                <c:pt idx="66">
                  <c:v>46.704710544028387</c:v>
                </c:pt>
                <c:pt idx="67">
                  <c:v>46.555119072010733</c:v>
                </c:pt>
                <c:pt idx="68">
                  <c:v>46.41765536841713</c:v>
                </c:pt>
                <c:pt idx="69">
                  <c:v>46.291906414638589</c:v>
                </c:pt>
                <c:pt idx="70">
                  <c:v>46.17748282537341</c:v>
                </c:pt>
                <c:pt idx="71">
                  <c:v>46.074017184783699</c:v>
                </c:pt>
                <c:pt idx="72">
                  <c:v>45.981162521305322</c:v>
                </c:pt>
                <c:pt idx="73">
                  <c:v>45.898590907816725</c:v>
                </c:pt>
                <c:pt idx="74">
                  <c:v>45.825992175307434</c:v>
                </c:pt>
                <c:pt idx="75">
                  <c:v>45.763072729453576</c:v>
                </c:pt>
                <c:pt idx="76">
                  <c:v>45.709554460621995</c:v>
                </c:pt>
                <c:pt idx="77">
                  <c:v>45.66517373880918</c:v>
                </c:pt>
                <c:pt idx="78">
                  <c:v>45.629680485893047</c:v>
                </c:pt>
                <c:pt idx="79">
                  <c:v>45.602837318346815</c:v>
                </c:pt>
                <c:pt idx="80">
                  <c:v>45.58441875424964</c:v>
                </c:pt>
                <c:pt idx="81">
                  <c:v>45.574210479037546</c:v>
                </c:pt>
                <c:pt idx="82">
                  <c:v>45.572008664980075</c:v>
                </c:pt>
                <c:pt idx="83">
                  <c:v>45.577619339851722</c:v>
                </c:pt>
                <c:pt idx="84">
                  <c:v>45.590857800698657</c:v>
                </c:pt>
                <c:pt idx="85">
                  <c:v>45.611548068986735</c:v>
                </c:pt>
                <c:pt idx="86">
                  <c:v>45.639522383762873</c:v>
                </c:pt>
                <c:pt idx="87">
                  <c:v>45.674620729770957</c:v>
                </c:pt>
                <c:pt idx="88">
                  <c:v>45.716690397742127</c:v>
                </c:pt>
                <c:pt idx="89">
                  <c:v>45.765585574328504</c:v>
                </c:pt>
                <c:pt idx="90">
                  <c:v>45.821166959375148</c:v>
                </c:pt>
                <c:pt idx="91">
                  <c:v>45.883301408426952</c:v>
                </c:pt>
                <c:pt idx="92">
                  <c:v>45.951861598550728</c:v>
                </c:pt>
                <c:pt idx="93">
                  <c:v>46.026725715717362</c:v>
                </c:pt>
                <c:pt idx="94">
                  <c:v>46.107777162138611</c:v>
                </c:pt>
                <c:pt idx="95">
                  <c:v>46.194904282088139</c:v>
                </c:pt>
                <c:pt idx="96">
                  <c:v>46.288000104859194</c:v>
                </c:pt>
                <c:pt idx="97">
                  <c:v>46.386962103621848</c:v>
                </c:pt>
                <c:pt idx="98">
                  <c:v>46.49169196904456</c:v>
                </c:pt>
                <c:pt idx="99">
                  <c:v>46.602095396635882</c:v>
                </c:pt>
                <c:pt idx="100">
                  <c:v>46.718081886845894</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7.0950489841524185</c:v>
                </c:pt>
                <c:pt idx="1">
                  <c:v>7.0964505536513496</c:v>
                </c:pt>
                <c:pt idx="2">
                  <c:v>7.5033061567839514</c:v>
                </c:pt>
                <c:pt idx="3">
                  <c:v>7.9101617599461989</c:v>
                </c:pt>
                <c:pt idx="4">
                  <c:v>8.3170173631380813</c:v>
                </c:pt>
                <c:pt idx="5">
                  <c:v>8.723872966359604</c:v>
                </c:pt>
                <c:pt idx="6">
                  <c:v>9.1307285696107652</c:v>
                </c:pt>
                <c:pt idx="7">
                  <c:v>9.5375841728915685</c:v>
                </c:pt>
                <c:pt idx="8">
                  <c:v>9.9444397762020085</c:v>
                </c:pt>
                <c:pt idx="9">
                  <c:v>10.351295379542089</c:v>
                </c:pt>
                <c:pt idx="10">
                  <c:v>10.758150982911809</c:v>
                </c:pt>
                <c:pt idx="11">
                  <c:v>11.165006586311167</c:v>
                </c:pt>
                <c:pt idx="12">
                  <c:v>11.571862189740163</c:v>
                </c:pt>
                <c:pt idx="13">
                  <c:v>11.978717793198804</c:v>
                </c:pt>
                <c:pt idx="14">
                  <c:v>12.385573396687079</c:v>
                </c:pt>
                <c:pt idx="15">
                  <c:v>12.792429000204994</c:v>
                </c:pt>
                <c:pt idx="16">
                  <c:v>13.199284603752551</c:v>
                </c:pt>
                <c:pt idx="17">
                  <c:v>13.606140207329743</c:v>
                </c:pt>
                <c:pt idx="18">
                  <c:v>14.012995810936578</c:v>
                </c:pt>
                <c:pt idx="19">
                  <c:v>14.419851414573053</c:v>
                </c:pt>
                <c:pt idx="20">
                  <c:v>14.826707018239169</c:v>
                </c:pt>
                <c:pt idx="21">
                  <c:v>15.233562621934917</c:v>
                </c:pt>
                <c:pt idx="22">
                  <c:v>15.640418225660307</c:v>
                </c:pt>
                <c:pt idx="23">
                  <c:v>16.047273829415339</c:v>
                </c:pt>
                <c:pt idx="24">
                  <c:v>16.454129433200009</c:v>
                </c:pt>
                <c:pt idx="25">
                  <c:v>16.860985037014316</c:v>
                </c:pt>
                <c:pt idx="26">
                  <c:v>17.267840640858267</c:v>
                </c:pt>
                <c:pt idx="27">
                  <c:v>18.242839658851388</c:v>
                </c:pt>
                <c:pt idx="28">
                  <c:v>19.354373532556728</c:v>
                </c:pt>
                <c:pt idx="29">
                  <c:v>20.497055263457366</c:v>
                </c:pt>
                <c:pt idx="30">
                  <c:v>21.235149943036301</c:v>
                </c:pt>
                <c:pt idx="31">
                  <c:v>21.943411558625137</c:v>
                </c:pt>
                <c:pt idx="32">
                  <c:v>22.651695919394303</c:v>
                </c:pt>
                <c:pt idx="33">
                  <c:v>23.360002817235763</c:v>
                </c:pt>
                <c:pt idx="34">
                  <c:v>24.068332053638638</c:v>
                </c:pt>
                <c:pt idx="35">
                  <c:v>24.776683438977265</c:v>
                </c:pt>
                <c:pt idx="36">
                  <c:v>25.485056791871109</c:v>
                </c:pt>
                <c:pt idx="37">
                  <c:v>26.19345193860735</c:v>
                </c:pt>
                <c:pt idx="38">
                  <c:v>26.90186871261859</c:v>
                </c:pt>
                <c:pt idx="39">
                  <c:v>27.610306954008937</c:v>
                </c:pt>
                <c:pt idx="40">
                  <c:v>28.318766509123044</c:v>
                </c:pt>
                <c:pt idx="41">
                  <c:v>29.02724723015308</c:v>
                </c:pt>
                <c:pt idx="42">
                  <c:v>29.735748974779501</c:v>
                </c:pt>
                <c:pt idx="43">
                  <c:v>30.444271605841909</c:v>
                </c:pt>
                <c:pt idx="44">
                  <c:v>30.94484899265921</c:v>
                </c:pt>
                <c:pt idx="45">
                  <c:v>31.201189613967465</c:v>
                </c:pt>
                <c:pt idx="46">
                  <c:v>31.457536043005927</c:v>
                </c:pt>
                <c:pt idx="47">
                  <c:v>31.713888395770606</c:v>
                </c:pt>
                <c:pt idx="48">
                  <c:v>34.692322469941956</c:v>
                </c:pt>
                <c:pt idx="49">
                  <c:v>35.699748922175907</c:v>
                </c:pt>
                <c:pt idx="50">
                  <c:v>36.718829896642241</c:v>
                </c:pt>
                <c:pt idx="51">
                  <c:v>37.749568255178943</c:v>
                </c:pt>
                <c:pt idx="52">
                  <c:v>38.791966918043371</c:v>
                </c:pt>
                <c:pt idx="53">
                  <c:v>39.846028863948696</c:v>
                </c:pt>
                <c:pt idx="54">
                  <c:v>40.91175713010098</c:v>
                </c:pt>
                <c:pt idx="55">
                  <c:v>41.989154812237125</c:v>
                </c:pt>
                <c:pt idx="56">
                  <c:v>43.078225064663457</c:v>
                </c:pt>
                <c:pt idx="57">
                  <c:v>44.178971100295136</c:v>
                </c:pt>
                <c:pt idx="58">
                  <c:v>45.291396190696219</c:v>
                </c:pt>
                <c:pt idx="59">
                  <c:v>46.415503666120514</c:v>
                </c:pt>
                <c:pt idx="60">
                  <c:v>47.551296915553138</c:v>
                </c:pt>
                <c:pt idx="61">
                  <c:v>48.698779386752918</c:v>
                </c:pt>
                <c:pt idx="62">
                  <c:v>49.857954586295357</c:v>
                </c:pt>
                <c:pt idx="63">
                  <c:v>51.028826079616508</c:v>
                </c:pt>
                <c:pt idx="64">
                  <c:v>52.211397491057561</c:v>
                </c:pt>
                <c:pt idx="65">
                  <c:v>53.405672503910068</c:v>
                </c:pt>
                <c:pt idx="66">
                  <c:v>54.611654860462075</c:v>
                </c:pt>
                <c:pt idx="67">
                  <c:v>55.829348362044826</c:v>
                </c:pt>
                <c:pt idx="68">
                  <c:v>57.058756869080433</c:v>
                </c:pt>
                <c:pt idx="69">
                  <c:v>58.299884301130078</c:v>
                </c:pt>
                <c:pt idx="70">
                  <c:v>59.552734636943093</c:v>
                </c:pt>
                <c:pt idx="71">
                  <c:v>60.817311914506774</c:v>
                </c:pt>
                <c:pt idx="72">
                  <c:v>62.093620231096935</c:v>
                </c:pt>
                <c:pt idx="73">
                  <c:v>63.381663743329248</c:v>
                </c:pt>
                <c:pt idx="74">
                  <c:v>64.681446667211233</c:v>
                </c:pt>
                <c:pt idx="75">
                  <c:v>65.992973278195223</c:v>
                </c:pt>
                <c:pt idx="76">
                  <c:v>67.316247911231727</c:v>
                </c:pt>
                <c:pt idx="77">
                  <c:v>68.651274960824082</c:v>
                </c:pt>
                <c:pt idx="78">
                  <c:v>69.998058881083253</c:v>
                </c:pt>
                <c:pt idx="79">
                  <c:v>71.356604185783937</c:v>
                </c:pt>
                <c:pt idx="80">
                  <c:v>72.726915448421025</c:v>
                </c:pt>
                <c:pt idx="81">
                  <c:v>74.10899730226717</c:v>
                </c:pt>
                <c:pt idx="82">
                  <c:v>75.502854440430809</c:v>
                </c:pt>
                <c:pt idx="83">
                  <c:v>76.908491615915182</c:v>
                </c:pt>
                <c:pt idx="84">
                  <c:v>78.325913641677971</c:v>
                </c:pt>
                <c:pt idx="85">
                  <c:v>79.755125390691845</c:v>
                </c:pt>
                <c:pt idx="86">
                  <c:v>81.196131796005659</c:v>
                </c:pt>
                <c:pt idx="87">
                  <c:v>82.648937850806462</c:v>
                </c:pt>
                <c:pt idx="88">
                  <c:v>84.11354860848239</c:v>
                </c:pt>
                <c:pt idx="89">
                  <c:v>85.589969182686076</c:v>
                </c:pt>
                <c:pt idx="90">
                  <c:v>87.078204747399127</c:v>
                </c:pt>
                <c:pt idx="91">
                  <c:v>88.578260536997263</c:v>
                </c:pt>
                <c:pt idx="92">
                  <c:v>90.090141846316143</c:v>
                </c:pt>
                <c:pt idx="93">
                  <c:v>91.613854030718116</c:v>
                </c:pt>
                <c:pt idx="94">
                  <c:v>93.149402506159575</c:v>
                </c:pt>
                <c:pt idx="95">
                  <c:v>94.696792749259544</c:v>
                </c:pt>
                <c:pt idx="96">
                  <c:v>96.256030297368341</c:v>
                </c:pt>
                <c:pt idx="97">
                  <c:v>97.827120748637682</c:v>
                </c:pt>
                <c:pt idx="98">
                  <c:v>99.410069762091169</c:v>
                </c:pt>
                <c:pt idx="99">
                  <c:v>101.00488305769579</c:v>
                </c:pt>
                <c:pt idx="100">
                  <c:v>102.6115664164341</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243.15573183147242</c:v>
                </c:pt>
                <c:pt idx="25">
                  <c:v>233.42950255821356</c:v>
                </c:pt>
                <c:pt idx="26">
                  <c:v>224.45144476751304</c:v>
                </c:pt>
                <c:pt idx="27">
                  <c:v>216.13842829464215</c:v>
                </c:pt>
                <c:pt idx="28">
                  <c:v>208.41919871269064</c:v>
                </c:pt>
                <c:pt idx="29">
                  <c:v>201.23232979156342</c:v>
                </c:pt>
                <c:pt idx="30">
                  <c:v>194.52458546517798</c:v>
                </c:pt>
                <c:pt idx="31">
                  <c:v>188.24959883726899</c:v>
                </c:pt>
                <c:pt idx="32">
                  <c:v>182.36679887360438</c:v>
                </c:pt>
                <c:pt idx="33">
                  <c:v>176.84053224107089</c:v>
                </c:pt>
                <c:pt idx="34">
                  <c:v>171.6393401163335</c:v>
                </c:pt>
                <c:pt idx="35">
                  <c:v>166.73535897015253</c:v>
                </c:pt>
                <c:pt idx="36">
                  <c:v>162.10382122098167</c:v>
                </c:pt>
                <c:pt idx="37">
                  <c:v>157.72263686365781</c:v>
                </c:pt>
                <c:pt idx="38">
                  <c:v>153.57204115671942</c:v>
                </c:pt>
                <c:pt idx="39">
                  <c:v>149.6342965116753</c:v>
                </c:pt>
                <c:pt idx="40">
                  <c:v>145.89343909888345</c:v>
                </c:pt>
                <c:pt idx="41">
                  <c:v>142.33506253549604</c:v>
                </c:pt>
                <c:pt idx="42">
                  <c:v>138.94613247512709</c:v>
                </c:pt>
                <c:pt idx="43">
                  <c:v>135.71482706872882</c:v>
                </c:pt>
                <c:pt idx="44">
                  <c:v>132.63039918080312</c:v>
                </c:pt>
                <c:pt idx="45">
                  <c:v>129.68305697678531</c:v>
                </c:pt>
                <c:pt idx="46">
                  <c:v>126.86386008598561</c:v>
                </c:pt>
                <c:pt idx="47">
                  <c:v>124.16462902032636</c:v>
                </c:pt>
                <c:pt idx="48">
                  <c:v>121.57786591573621</c:v>
                </c:pt>
                <c:pt idx="49">
                  <c:v>119.09668497868041</c:v>
                </c:pt>
                <c:pt idx="50">
                  <c:v>116.71475127910678</c:v>
                </c:pt>
                <c:pt idx="51">
                  <c:v>114.42622674422233</c:v>
                </c:pt>
                <c:pt idx="52">
                  <c:v>112.22572238375652</c:v>
                </c:pt>
                <c:pt idx="53">
                  <c:v>110.10825592368565</c:v>
                </c:pt>
                <c:pt idx="54">
                  <c:v>108.06921414732108</c:v>
                </c:pt>
                <c:pt idx="55">
                  <c:v>106.10431934464251</c:v>
                </c:pt>
                <c:pt idx="56">
                  <c:v>104.20959935634532</c:v>
                </c:pt>
                <c:pt idx="57">
                  <c:v>102.3813607711463</c:v>
                </c:pt>
                <c:pt idx="58">
                  <c:v>100.61616489578171</c:v>
                </c:pt>
                <c:pt idx="59">
                  <c:v>98.910806168734553</c:v>
                </c:pt>
                <c:pt idx="60">
                  <c:v>97.262292732588989</c:v>
                </c:pt>
                <c:pt idx="61">
                  <c:v>95.667828917300653</c:v>
                </c:pt>
                <c:pt idx="62">
                  <c:v>94.124799418634495</c:v>
                </c:pt>
                <c:pt idx="63">
                  <c:v>92.630754983418086</c:v>
                </c:pt>
                <c:pt idx="64">
                  <c:v>91.183399436802191</c:v>
                </c:pt>
                <c:pt idx="65">
                  <c:v>89.78057790700521</c:v>
                </c:pt>
                <c:pt idx="66">
                  <c:v>88.420266120535445</c:v>
                </c:pt>
                <c:pt idx="67">
                  <c:v>87.100560656049851</c:v>
                </c:pt>
                <c:pt idx="68">
                  <c:v>85.81967005816675</c:v>
                </c:pt>
                <c:pt idx="69">
                  <c:v>84.575906723990428</c:v>
                </c:pt>
                <c:pt idx="70">
                  <c:v>83.367679485076266</c:v>
                </c:pt>
                <c:pt idx="71">
                  <c:v>82.193486816272369</c:v>
                </c:pt>
                <c:pt idx="72">
                  <c:v>81.051910610490836</c:v>
                </c:pt>
                <c:pt idx="73">
                  <c:v>79.94161046514165</c:v>
                </c:pt>
                <c:pt idx="74">
                  <c:v>78.861318431828906</c:v>
                </c:pt>
                <c:pt idx="75">
                  <c:v>77.8098341860712</c:v>
                </c:pt>
                <c:pt idx="76">
                  <c:v>76.786020578359711</c:v>
                </c:pt>
                <c:pt idx="77">
                  <c:v>75.788799531887491</c:v>
                </c:pt>
                <c:pt idx="78">
                  <c:v>74.817148255837651</c:v>
                </c:pt>
                <c:pt idx="79">
                  <c:v>73.870095746270096</c:v>
                </c:pt>
                <c:pt idx="80">
                  <c:v>72.946719549441724</c:v>
                </c:pt>
                <c:pt idx="81">
                  <c:v>72.046142764880727</c:v>
                </c:pt>
                <c:pt idx="82">
                  <c:v>71.167531267748018</c:v>
                </c:pt>
                <c:pt idx="83">
                  <c:v>70.310091131992039</c:v>
                </c:pt>
                <c:pt idx="84">
                  <c:v>69.473066237563543</c:v>
                </c:pt>
                <c:pt idx="85">
                  <c:v>68.655736046533377</c:v>
                </c:pt>
                <c:pt idx="86">
                  <c:v>67.857413534364412</c:v>
                </c:pt>
                <c:pt idx="87">
                  <c:v>67.077443263854448</c:v>
                </c:pt>
                <c:pt idx="88">
                  <c:v>66.315199590401562</c:v>
                </c:pt>
                <c:pt idx="89">
                  <c:v>65.570084988262224</c:v>
                </c:pt>
                <c:pt idx="90">
                  <c:v>64.841528488392655</c:v>
                </c:pt>
                <c:pt idx="91">
                  <c:v>64.128984219289435</c:v>
                </c:pt>
                <c:pt idx="92">
                  <c:v>63.431930042992803</c:v>
                </c:pt>
                <c:pt idx="93">
                  <c:v>62.749866279089645</c:v>
                </c:pt>
                <c:pt idx="94">
                  <c:v>62.082314510163179</c:v>
                </c:pt>
                <c:pt idx="95">
                  <c:v>61.428816462687784</c:v>
                </c:pt>
                <c:pt idx="96">
                  <c:v>60.788932957868106</c:v>
                </c:pt>
                <c:pt idx="97">
                  <c:v>60.162242927374635</c:v>
                </c:pt>
                <c:pt idx="98">
                  <c:v>59.548342489340207</c:v>
                </c:pt>
                <c:pt idx="99">
                  <c:v>58.946844080356954</c:v>
                </c:pt>
                <c:pt idx="100">
                  <c:v>58.357375639553389</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346.34181955610529</c:v>
                </c:pt>
                <c:pt idx="45">
                  <c:v>338.64533467708077</c:v>
                </c:pt>
                <c:pt idx="46">
                  <c:v>331.28347957540501</c:v>
                </c:pt>
                <c:pt idx="47">
                  <c:v>324.23489490358799</c:v>
                </c:pt>
                <c:pt idx="48">
                  <c:v>317.48000125976324</c:v>
                </c:pt>
                <c:pt idx="49">
                  <c:v>311.00081756058432</c:v>
                </c:pt>
                <c:pt idx="50">
                  <c:v>304.78080120937273</c:v>
                </c:pt>
                <c:pt idx="51">
                  <c:v>298.80470706801242</c:v>
                </c:pt>
                <c:pt idx="52">
                  <c:v>293.05846270131985</c:v>
                </c:pt>
                <c:pt idx="53">
                  <c:v>287.52905774469116</c:v>
                </c:pt>
                <c:pt idx="54">
                  <c:v>282.20444556423394</c:v>
                </c:pt>
                <c:pt idx="55">
                  <c:v>277.07345564488423</c:v>
                </c:pt>
                <c:pt idx="56">
                  <c:v>272.12571536551127</c:v>
                </c:pt>
                <c:pt idx="57">
                  <c:v>267.35158000822167</c:v>
                </c:pt>
                <c:pt idx="58">
                  <c:v>262.74207000807991</c:v>
                </c:pt>
                <c:pt idx="59">
                  <c:v>258.28881458421415</c:v>
                </c:pt>
                <c:pt idx="60">
                  <c:v>253.9840010078106</c:v>
                </c:pt>
                <c:pt idx="61">
                  <c:v>249.82032886014153</c:v>
                </c:pt>
                <c:pt idx="62">
                  <c:v>245.79096871723604</c:v>
                </c:pt>
                <c:pt idx="63">
                  <c:v>241.88952476934347</c:v>
                </c:pt>
                <c:pt idx="64">
                  <c:v>238.11000094482242</c:v>
                </c:pt>
                <c:pt idx="65">
                  <c:v>234.44677016105589</c:v>
                </c:pt>
                <c:pt idx="66">
                  <c:v>230.89454637073683</c:v>
                </c:pt>
                <c:pt idx="67">
                  <c:v>227.44835911147214</c:v>
                </c:pt>
                <c:pt idx="68">
                  <c:v>224.1035303010093</c:v>
                </c:pt>
                <c:pt idx="69">
                  <c:v>220.85565305027009</c:v>
                </c:pt>
                <c:pt idx="70">
                  <c:v>217.70057229240905</c:v>
                </c:pt>
                <c:pt idx="71">
                  <c:v>214.63436704885399</c:v>
                </c:pt>
                <c:pt idx="72">
                  <c:v>211.65333417317547</c:v>
                </c:pt>
                <c:pt idx="73">
                  <c:v>208.75397343107718</c:v>
                </c:pt>
                <c:pt idx="74">
                  <c:v>205.93297379011668</c:v>
                </c:pt>
                <c:pt idx="75">
                  <c:v>203.18720080624846</c:v>
                </c:pt>
                <c:pt idx="76">
                  <c:v>200.51368500616621</c:v>
                </c:pt>
                <c:pt idx="77">
                  <c:v>197.9096111749173</c:v>
                </c:pt>
                <c:pt idx="78">
                  <c:v>195.37230846754656</c:v>
                </c:pt>
                <c:pt idx="79">
                  <c:v>192.89924127175482</c:v>
                </c:pt>
                <c:pt idx="80">
                  <c:v>190.48800075585783</c:v>
                </c:pt>
                <c:pt idx="81">
                  <c:v>188.1362970428226</c:v>
                </c:pt>
                <c:pt idx="82">
                  <c:v>185.84195195693454</c:v>
                </c:pt>
                <c:pt idx="83">
                  <c:v>183.60289229480279</c:v>
                </c:pt>
                <c:pt idx="84">
                  <c:v>181.41714357700749</c:v>
                </c:pt>
                <c:pt idx="85">
                  <c:v>179.28282424080743</c:v>
                </c:pt>
                <c:pt idx="86">
                  <c:v>177.19814023800734</c:v>
                </c:pt>
                <c:pt idx="87">
                  <c:v>175.16138000538655</c:v>
                </c:pt>
                <c:pt idx="88">
                  <c:v>173.17090977805265</c:v>
                </c:pt>
                <c:pt idx="89">
                  <c:v>171.22516921874865</c:v>
                </c:pt>
                <c:pt idx="90">
                  <c:v>169.32266733854038</c:v>
                </c:pt>
                <c:pt idx="91">
                  <c:v>167.46197868646848</c:v>
                </c:pt>
                <c:pt idx="92">
                  <c:v>165.64173978770251</c:v>
                </c:pt>
                <c:pt idx="93">
                  <c:v>163.86064581149068</c:v>
                </c:pt>
                <c:pt idx="94">
                  <c:v>162.11744745179399</c:v>
                </c:pt>
                <c:pt idx="95">
                  <c:v>160.41094800493303</c:v>
                </c:pt>
                <c:pt idx="96">
                  <c:v>158.74000062988162</c:v>
                </c:pt>
                <c:pt idx="97">
                  <c:v>157.10350577802714</c:v>
                </c:pt>
                <c:pt idx="98">
                  <c:v>155.50040878029216</c:v>
                </c:pt>
                <c:pt idx="99">
                  <c:v>153.92969758049122</c:v>
                </c:pt>
                <c:pt idx="100">
                  <c:v>152.39040060468636</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347.77535160976549</c:v>
                </c:pt>
                <c:pt idx="47">
                  <c:v>340.37587604360039</c:v>
                </c:pt>
                <c:pt idx="48">
                  <c:v>333.28471195935873</c:v>
                </c:pt>
                <c:pt idx="49">
                  <c:v>326.48298314386153</c:v>
                </c:pt>
                <c:pt idx="50">
                  <c:v>319.9533234809843</c:v>
                </c:pt>
                <c:pt idx="51">
                  <c:v>313.67972890292577</c:v>
                </c:pt>
                <c:pt idx="52">
                  <c:v>307.64742642402331</c:v>
                </c:pt>
                <c:pt idx="53">
                  <c:v>301.84275800092854</c:v>
                </c:pt>
                <c:pt idx="54">
                  <c:v>296.25307729720765</c:v>
                </c:pt>
                <c:pt idx="55">
                  <c:v>290.8666577099857</c:v>
                </c:pt>
                <c:pt idx="56">
                  <c:v>285.67261025087885</c:v>
                </c:pt>
                <c:pt idx="57">
                  <c:v>280.6608100710389</c:v>
                </c:pt>
                <c:pt idx="58">
                  <c:v>275.82183058705544</c:v>
                </c:pt>
                <c:pt idx="59">
                  <c:v>271.14688430591895</c:v>
                </c:pt>
                <c:pt idx="60">
                  <c:v>266.62776956748695</c:v>
                </c:pt>
                <c:pt idx="61">
                  <c:v>262.25682252539701</c:v>
                </c:pt>
                <c:pt idx="62">
                  <c:v>258.02687377498734</c:v>
                </c:pt>
                <c:pt idx="63">
                  <c:v>253.93120911189226</c:v>
                </c:pt>
                <c:pt idx="64">
                  <c:v>249.96353396951903</c:v>
                </c:pt>
                <c:pt idx="65">
                  <c:v>246.11794113921863</c:v>
                </c:pt>
                <c:pt idx="66">
                  <c:v>242.38888142498809</c:v>
                </c:pt>
                <c:pt idx="67">
                  <c:v>238.77113692610766</c:v>
                </c:pt>
                <c:pt idx="68">
                  <c:v>235.25979667719429</c:v>
                </c:pt>
                <c:pt idx="69">
                  <c:v>231.85023440651037</c:v>
                </c:pt>
                <c:pt idx="70">
                  <c:v>228.53808820070304</c:v>
                </c:pt>
                <c:pt idx="71">
                  <c:v>225.31924188801713</c:v>
                </c:pt>
                <c:pt idx="72">
                  <c:v>222.18980797290581</c:v>
                </c:pt>
                <c:pt idx="73">
                  <c:v>219.14611197327693</c:v>
                </c:pt>
                <c:pt idx="74">
                  <c:v>216.18467802769206</c:v>
                </c:pt>
                <c:pt idx="75">
                  <c:v>213.30221565398952</c:v>
                </c:pt>
                <c:pt idx="76">
                  <c:v>210.49560755327914</c:v>
                </c:pt>
                <c:pt idx="77">
                  <c:v>207.76189836427554</c:v>
                </c:pt>
                <c:pt idx="78">
                  <c:v>205.09828428268222</c:v>
                </c:pt>
                <c:pt idx="79">
                  <c:v>202.50210346897737</c:v>
                </c:pt>
                <c:pt idx="80">
                  <c:v>199.97082717561514</c:v>
                </c:pt>
                <c:pt idx="81">
                  <c:v>197.50205153147175</c:v>
                </c:pt>
                <c:pt idx="82">
                  <c:v>195.09348992742946</c:v>
                </c:pt>
                <c:pt idx="83">
                  <c:v>192.74296595240017</c:v>
                </c:pt>
                <c:pt idx="84">
                  <c:v>190.44840683391919</c:v>
                </c:pt>
                <c:pt idx="85">
                  <c:v>188.20783734175544</c:v>
                </c:pt>
                <c:pt idx="86">
                  <c:v>186.01937411685131</c:v>
                </c:pt>
                <c:pt idx="87">
                  <c:v>183.88122039137025</c:v>
                </c:pt>
                <c:pt idx="88">
                  <c:v>181.79166106874106</c:v>
                </c:pt>
                <c:pt idx="89">
                  <c:v>179.74905813538442</c:v>
                </c:pt>
                <c:pt idx="90">
                  <c:v>177.75184637832461</c:v>
                </c:pt>
                <c:pt idx="91">
                  <c:v>175.7985293851562</c:v>
                </c:pt>
                <c:pt idx="92">
                  <c:v>173.88767580488275</c:v>
                </c:pt>
                <c:pt idx="93">
                  <c:v>172.01791584999151</c:v>
                </c:pt>
                <c:pt idx="94">
                  <c:v>170.18793802180019</c:v>
                </c:pt>
                <c:pt idx="95">
                  <c:v>168.39648604262334</c:v>
                </c:pt>
                <c:pt idx="96">
                  <c:v>166.64235597967937</c:v>
                </c:pt>
                <c:pt idx="97">
                  <c:v>164.92439354689913</c:v>
                </c:pt>
                <c:pt idx="98">
                  <c:v>163.24149157193077</c:v>
                </c:pt>
                <c:pt idx="99">
                  <c:v>161.59258761665873</c:v>
                </c:pt>
                <c:pt idx="100">
                  <c:v>159.97666174049215</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0.1710119568387285</c:v>
                </c:pt>
                <c:pt idx="25">
                  <c:v>0.1781374550403422</c:v>
                </c:pt>
                <c:pt idx="26">
                  <c:v>0.18526295324195588</c:v>
                </c:pt>
                <c:pt idx="27">
                  <c:v>0.19238845144356959</c:v>
                </c:pt>
                <c:pt idx="28">
                  <c:v>0.19951394964518326</c:v>
                </c:pt>
                <c:pt idx="29">
                  <c:v>0.20663944784679694</c:v>
                </c:pt>
                <c:pt idx="30">
                  <c:v>0.21376494604841062</c:v>
                </c:pt>
                <c:pt idx="31">
                  <c:v>0.22089044425002433</c:v>
                </c:pt>
                <c:pt idx="32">
                  <c:v>0.228015942451638</c:v>
                </c:pt>
                <c:pt idx="33">
                  <c:v>0.23514144065325171</c:v>
                </c:pt>
                <c:pt idx="34">
                  <c:v>0.24226693885486539</c:v>
                </c:pt>
                <c:pt idx="35">
                  <c:v>0.24939243705647907</c:v>
                </c:pt>
                <c:pt idx="36">
                  <c:v>0.25651793525809274</c:v>
                </c:pt>
                <c:pt idx="37">
                  <c:v>0.26364343345970642</c:v>
                </c:pt>
                <c:pt idx="38">
                  <c:v>0.27076893166132016</c:v>
                </c:pt>
                <c:pt idx="39">
                  <c:v>0.27789442986293389</c:v>
                </c:pt>
                <c:pt idx="40">
                  <c:v>0.28501992806454757</c:v>
                </c:pt>
                <c:pt idx="41">
                  <c:v>0.29214542626616125</c:v>
                </c:pt>
                <c:pt idx="42">
                  <c:v>0.29927092446777492</c:v>
                </c:pt>
                <c:pt idx="43">
                  <c:v>0.3063964226693886</c:v>
                </c:pt>
                <c:pt idx="44">
                  <c:v>0.31352192087100228</c:v>
                </c:pt>
                <c:pt idx="45">
                  <c:v>0.32064741907261601</c:v>
                </c:pt>
                <c:pt idx="46">
                  <c:v>0.32777291727422969</c:v>
                </c:pt>
                <c:pt idx="47">
                  <c:v>0.33489841547584331</c:v>
                </c:pt>
                <c:pt idx="48">
                  <c:v>0.34202391367745699</c:v>
                </c:pt>
                <c:pt idx="49">
                  <c:v>0.34914941187907067</c:v>
                </c:pt>
                <c:pt idx="50">
                  <c:v>0.3562749100806844</c:v>
                </c:pt>
                <c:pt idx="51">
                  <c:v>0.36340040828229808</c:v>
                </c:pt>
                <c:pt idx="52">
                  <c:v>0.37052590648391176</c:v>
                </c:pt>
                <c:pt idx="53">
                  <c:v>0.37765140468552549</c:v>
                </c:pt>
                <c:pt idx="54">
                  <c:v>0.38477690288713917</c:v>
                </c:pt>
                <c:pt idx="55">
                  <c:v>0.39190240108875285</c:v>
                </c:pt>
                <c:pt idx="56">
                  <c:v>0.39902789929036653</c:v>
                </c:pt>
                <c:pt idx="57">
                  <c:v>0.40615339749198015</c:v>
                </c:pt>
                <c:pt idx="58">
                  <c:v>0.41327889569359388</c:v>
                </c:pt>
                <c:pt idx="59">
                  <c:v>0.42040439389520756</c:v>
                </c:pt>
                <c:pt idx="60">
                  <c:v>0.42752989209682124</c:v>
                </c:pt>
                <c:pt idx="61">
                  <c:v>0.43465539029843492</c:v>
                </c:pt>
                <c:pt idx="62">
                  <c:v>0.44178088850004865</c:v>
                </c:pt>
                <c:pt idx="63">
                  <c:v>0.44890638670166233</c:v>
                </c:pt>
                <c:pt idx="64">
                  <c:v>0.45603188490327601</c:v>
                </c:pt>
                <c:pt idx="65">
                  <c:v>0.46315738310488974</c:v>
                </c:pt>
                <c:pt idx="66">
                  <c:v>0.47028288130650342</c:v>
                </c:pt>
                <c:pt idx="67">
                  <c:v>0.4774083795081171</c:v>
                </c:pt>
                <c:pt idx="68">
                  <c:v>0.48453387770973078</c:v>
                </c:pt>
                <c:pt idx="69">
                  <c:v>0.4916593759113444</c:v>
                </c:pt>
                <c:pt idx="70">
                  <c:v>0.49878487411295813</c:v>
                </c:pt>
                <c:pt idx="71">
                  <c:v>0.50591037231457181</c:v>
                </c:pt>
                <c:pt idx="72">
                  <c:v>0.51303587051618549</c:v>
                </c:pt>
                <c:pt idx="73">
                  <c:v>0.52016136871779917</c:v>
                </c:pt>
                <c:pt idx="74">
                  <c:v>0.52728686691941284</c:v>
                </c:pt>
                <c:pt idx="75">
                  <c:v>0.53441236512102663</c:v>
                </c:pt>
                <c:pt idx="76">
                  <c:v>0.54153786332264031</c:v>
                </c:pt>
                <c:pt idx="77">
                  <c:v>0.5486633615242541</c:v>
                </c:pt>
                <c:pt idx="78">
                  <c:v>0.55578885972586778</c:v>
                </c:pt>
                <c:pt idx="79">
                  <c:v>0.56291435792748146</c:v>
                </c:pt>
                <c:pt idx="80">
                  <c:v>0.57003985612909513</c:v>
                </c:pt>
                <c:pt idx="81">
                  <c:v>0.57716535433070881</c:v>
                </c:pt>
                <c:pt idx="82">
                  <c:v>0.58429085253232249</c:v>
                </c:pt>
                <c:pt idx="83">
                  <c:v>0.59141635073393617</c:v>
                </c:pt>
                <c:pt idx="84">
                  <c:v>0.59854184893554985</c:v>
                </c:pt>
                <c:pt idx="85">
                  <c:v>0.60566734713716353</c:v>
                </c:pt>
                <c:pt idx="86">
                  <c:v>0.6127928453387772</c:v>
                </c:pt>
                <c:pt idx="87">
                  <c:v>0.61991834354039088</c:v>
                </c:pt>
                <c:pt idx="88">
                  <c:v>0.62704384174200456</c:v>
                </c:pt>
                <c:pt idx="89">
                  <c:v>0.63416933994361835</c:v>
                </c:pt>
                <c:pt idx="90">
                  <c:v>0.64129483814523203</c:v>
                </c:pt>
                <c:pt idx="91">
                  <c:v>0.6484203363468457</c:v>
                </c:pt>
                <c:pt idx="92">
                  <c:v>0.65554583454845938</c:v>
                </c:pt>
                <c:pt idx="93">
                  <c:v>0.66267133275007306</c:v>
                </c:pt>
                <c:pt idx="94">
                  <c:v>0.66979683095168663</c:v>
                </c:pt>
                <c:pt idx="95">
                  <c:v>0.67692232915330031</c:v>
                </c:pt>
                <c:pt idx="96">
                  <c:v>0.68404782735491398</c:v>
                </c:pt>
                <c:pt idx="97">
                  <c:v>0.69117332555652766</c:v>
                </c:pt>
                <c:pt idx="98">
                  <c:v>0.69829882375814134</c:v>
                </c:pt>
                <c:pt idx="99">
                  <c:v>0.70542432195975513</c:v>
                </c:pt>
                <c:pt idx="100">
                  <c:v>0.71254982016136881</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Single'!$AJ$5:$AJ$105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0.15239047589287577</c:v>
                </c:pt>
                <c:pt idx="28">
                  <c:v>0.15518686465987697</c:v>
                </c:pt>
                <c:pt idx="29">
                  <c:v>0.15793374808149394</c:v>
                </c:pt>
                <c:pt idx="30">
                  <c:v>0.16063366584615632</c:v>
                </c:pt>
                <c:pt idx="31">
                  <c:v>0.1632889476458233</c:v>
                </c:pt>
                <c:pt idx="32">
                  <c:v>0.16590173670997616</c:v>
                </c:pt>
                <c:pt idx="33">
                  <c:v>0.16847401005345622</c:v>
                </c:pt>
                <c:pt idx="34">
                  <c:v>0.17100759598216064</c:v>
                </c:pt>
                <c:pt idx="35">
                  <c:v>0.17350418929727229</c:v>
                </c:pt>
                <c:pt idx="36">
                  <c:v>0.17596536455737397</c:v>
                </c:pt>
                <c:pt idx="37">
                  <c:v>0.17839258769331012</c:v>
                </c:pt>
                <c:pt idx="38">
                  <c:v>0.18078722621916951</c:v>
                </c:pt>
                <c:pt idx="39">
                  <c:v>0.18315055824137419</c:v>
                </c:pt>
                <c:pt idx="40">
                  <c:v>0.18548378043438951</c:v>
                </c:pt>
                <c:pt idx="41">
                  <c:v>0.18778801512433807</c:v>
                </c:pt>
                <c:pt idx="42">
                  <c:v>0.19006431659952494</c:v>
                </c:pt>
                <c:pt idx="43">
                  <c:v>0.19231367674856167</c:v>
                </c:pt>
                <c:pt idx="44">
                  <c:v>0.19453703011163734</c:v>
                </c:pt>
                <c:pt idx="45">
                  <c:v>0.19673525841791023</c:v>
                </c:pt>
                <c:pt idx="46">
                  <c:v>0.19890919467150767</c:v>
                </c:pt>
                <c:pt idx="47">
                  <c:v>0.20105962683983464</c:v>
                </c:pt>
                <c:pt idx="48">
                  <c:v>0.21165354330708661</c:v>
                </c:pt>
                <c:pt idx="49">
                  <c:v>0.21606299212598426</c:v>
                </c:pt>
                <c:pt idx="50">
                  <c:v>0.22047244094488189</c:v>
                </c:pt>
                <c:pt idx="51">
                  <c:v>0.22488188976377954</c:v>
                </c:pt>
                <c:pt idx="52">
                  <c:v>0.22929133858267717</c:v>
                </c:pt>
                <c:pt idx="53">
                  <c:v>0.23370078740157482</c:v>
                </c:pt>
                <c:pt idx="54">
                  <c:v>0.23811023622047248</c:v>
                </c:pt>
                <c:pt idx="55">
                  <c:v>0.2425196850393701</c:v>
                </c:pt>
                <c:pt idx="56">
                  <c:v>0.24692913385826776</c:v>
                </c:pt>
                <c:pt idx="57">
                  <c:v>0.25133858267716536</c:v>
                </c:pt>
                <c:pt idx="58">
                  <c:v>0.25574803149606296</c:v>
                </c:pt>
                <c:pt idx="59">
                  <c:v>0.26015748031496061</c:v>
                </c:pt>
                <c:pt idx="60">
                  <c:v>0.26456692913385826</c:v>
                </c:pt>
                <c:pt idx="61">
                  <c:v>0.26897637795275592</c:v>
                </c:pt>
                <c:pt idx="62">
                  <c:v>0.27338582677165357</c:v>
                </c:pt>
                <c:pt idx="63">
                  <c:v>0.27779527559055117</c:v>
                </c:pt>
                <c:pt idx="64">
                  <c:v>0.28220472440944883</c:v>
                </c:pt>
                <c:pt idx="65">
                  <c:v>0.28661417322834648</c:v>
                </c:pt>
                <c:pt idx="66">
                  <c:v>0.29102362204724413</c:v>
                </c:pt>
                <c:pt idx="67">
                  <c:v>0.29543307086614173</c:v>
                </c:pt>
                <c:pt idx="68">
                  <c:v>0.29984251968503939</c:v>
                </c:pt>
                <c:pt idx="69">
                  <c:v>0.30425196850393699</c:v>
                </c:pt>
                <c:pt idx="70">
                  <c:v>0.30866141732283464</c:v>
                </c:pt>
                <c:pt idx="71">
                  <c:v>0.3130708661417323</c:v>
                </c:pt>
                <c:pt idx="72">
                  <c:v>0.31748031496062989</c:v>
                </c:pt>
                <c:pt idx="73">
                  <c:v>0.32188976377952755</c:v>
                </c:pt>
                <c:pt idx="74">
                  <c:v>0.3262992125984252</c:v>
                </c:pt>
                <c:pt idx="75">
                  <c:v>0.33070866141732291</c:v>
                </c:pt>
                <c:pt idx="76">
                  <c:v>0.33511811023622051</c:v>
                </c:pt>
                <c:pt idx="77">
                  <c:v>0.33952755905511817</c:v>
                </c:pt>
                <c:pt idx="78">
                  <c:v>0.34393700787401582</c:v>
                </c:pt>
                <c:pt idx="79">
                  <c:v>0.34834645669291348</c:v>
                </c:pt>
                <c:pt idx="80">
                  <c:v>0.35275590551181113</c:v>
                </c:pt>
                <c:pt idx="81">
                  <c:v>0.35716535433070873</c:v>
                </c:pt>
                <c:pt idx="82">
                  <c:v>0.36157480314960633</c:v>
                </c:pt>
                <c:pt idx="83">
                  <c:v>0.36598425196850398</c:v>
                </c:pt>
                <c:pt idx="84">
                  <c:v>0.37039370078740164</c:v>
                </c:pt>
                <c:pt idx="85">
                  <c:v>0.37480314960629924</c:v>
                </c:pt>
                <c:pt idx="86">
                  <c:v>0.37921259842519689</c:v>
                </c:pt>
                <c:pt idx="87">
                  <c:v>0.38362204724409454</c:v>
                </c:pt>
                <c:pt idx="88">
                  <c:v>0.3880314960629922</c:v>
                </c:pt>
                <c:pt idx="89">
                  <c:v>0.39244094488188985</c:v>
                </c:pt>
                <c:pt idx="90">
                  <c:v>0.39685039370078745</c:v>
                </c:pt>
                <c:pt idx="91">
                  <c:v>0.40125984251968511</c:v>
                </c:pt>
                <c:pt idx="92">
                  <c:v>0.40566929133858276</c:v>
                </c:pt>
                <c:pt idx="93">
                  <c:v>0.41007874015748041</c:v>
                </c:pt>
                <c:pt idx="94">
                  <c:v>0.41448818897637796</c:v>
                </c:pt>
                <c:pt idx="95">
                  <c:v>0.41889763779527556</c:v>
                </c:pt>
                <c:pt idx="96">
                  <c:v>0.42330708661417321</c:v>
                </c:pt>
                <c:pt idx="97">
                  <c:v>0.42771653543307087</c:v>
                </c:pt>
                <c:pt idx="98">
                  <c:v>0.43212598425196852</c:v>
                </c:pt>
                <c:pt idx="99">
                  <c:v>0.43653543307086617</c:v>
                </c:pt>
                <c:pt idx="100">
                  <c:v>0.44094488188976377</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0.15239047589287574</c:v>
                </c:pt>
                <c:pt idx="31">
                  <c:v>0.15490949738783732</c:v>
                </c:pt>
                <c:pt idx="32">
                  <c:v>0.15738820673432816</c:v>
                </c:pt>
                <c:pt idx="33">
                  <c:v>0.15982847949330828</c:v>
                </c:pt>
                <c:pt idx="34">
                  <c:v>0.16223205014804595</c:v>
                </c:pt>
                <c:pt idx="35">
                  <c:v>0.16460052652811696</c:v>
                </c:pt>
                <c:pt idx="36">
                  <c:v>0.16693540239095053</c:v>
                </c:pt>
                <c:pt idx="37">
                  <c:v>0.16923806844065495</c:v>
                </c:pt>
                <c:pt idx="38">
                  <c:v>0.17150982201500606</c:v>
                </c:pt>
                <c:pt idx="39">
                  <c:v>0.17375187563221955</c:v>
                </c:pt>
                <c:pt idx="40">
                  <c:v>0.17596536455737399</c:v>
                </c:pt>
                <c:pt idx="41">
                  <c:v>0.17815135352251682</c:v>
                </c:pt>
                <c:pt idx="42">
                  <c:v>0.18031084271335435</c:v>
                </c:pt>
                <c:pt idx="43">
                  <c:v>0.18244477311804591</c:v>
                </c:pt>
                <c:pt idx="44">
                  <c:v>0.18455403131926024</c:v>
                </c:pt>
                <c:pt idx="45">
                  <c:v>0.18663945379872318</c:v>
                </c:pt>
                <c:pt idx="46">
                  <c:v>0.18870183081353759</c:v>
                </c:pt>
                <c:pt idx="47">
                  <c:v>0.19074190989521991</c:v>
                </c:pt>
                <c:pt idx="48">
                  <c:v>0.19276039901538758</c:v>
                </c:pt>
                <c:pt idx="49">
                  <c:v>0.19475796945610896</c:v>
                </c:pt>
                <c:pt idx="50">
                  <c:v>0.2151814356538766</c:v>
                </c:pt>
                <c:pt idx="51">
                  <c:v>0.21948506436695411</c:v>
                </c:pt>
                <c:pt idx="52">
                  <c:v>0.22378869308003166</c:v>
                </c:pt>
                <c:pt idx="53">
                  <c:v>0.2280923217931092</c:v>
                </c:pt>
                <c:pt idx="54">
                  <c:v>0.23239595050618672</c:v>
                </c:pt>
                <c:pt idx="55">
                  <c:v>0.23669957921926427</c:v>
                </c:pt>
                <c:pt idx="56">
                  <c:v>0.24100320793234178</c:v>
                </c:pt>
                <c:pt idx="57">
                  <c:v>0.24530683664541927</c:v>
                </c:pt>
                <c:pt idx="58">
                  <c:v>0.24961046535849682</c:v>
                </c:pt>
                <c:pt idx="59">
                  <c:v>0.25391409407157434</c:v>
                </c:pt>
                <c:pt idx="60">
                  <c:v>0.25821772278465188</c:v>
                </c:pt>
                <c:pt idx="61">
                  <c:v>0.26252135149772943</c:v>
                </c:pt>
                <c:pt idx="62">
                  <c:v>0.26682498021080697</c:v>
                </c:pt>
                <c:pt idx="63">
                  <c:v>0.27112860892388452</c:v>
                </c:pt>
                <c:pt idx="64">
                  <c:v>0.27543223763696201</c:v>
                </c:pt>
                <c:pt idx="65">
                  <c:v>0.27973586635003955</c:v>
                </c:pt>
                <c:pt idx="66">
                  <c:v>0.2840394950631171</c:v>
                </c:pt>
                <c:pt idx="67">
                  <c:v>0.28834312377619464</c:v>
                </c:pt>
                <c:pt idx="68">
                  <c:v>0.29264675248927219</c:v>
                </c:pt>
                <c:pt idx="69">
                  <c:v>0.29695038120234968</c:v>
                </c:pt>
                <c:pt idx="70">
                  <c:v>0.30125400991542722</c:v>
                </c:pt>
                <c:pt idx="71">
                  <c:v>0.30555763862850471</c:v>
                </c:pt>
                <c:pt idx="72">
                  <c:v>0.30986126734158226</c:v>
                </c:pt>
                <c:pt idx="73">
                  <c:v>0.3141648960546598</c:v>
                </c:pt>
                <c:pt idx="74">
                  <c:v>0.31846852476773735</c:v>
                </c:pt>
                <c:pt idx="75">
                  <c:v>0.32277215348081495</c:v>
                </c:pt>
                <c:pt idx="76">
                  <c:v>0.32707578219389244</c:v>
                </c:pt>
                <c:pt idx="77">
                  <c:v>0.33137941090696998</c:v>
                </c:pt>
                <c:pt idx="78">
                  <c:v>0.33568303962004753</c:v>
                </c:pt>
                <c:pt idx="79">
                  <c:v>0.33998666833312507</c:v>
                </c:pt>
                <c:pt idx="80">
                  <c:v>0.34429029704620262</c:v>
                </c:pt>
                <c:pt idx="81">
                  <c:v>0.34859392575928017</c:v>
                </c:pt>
                <c:pt idx="82">
                  <c:v>0.3528975544723576</c:v>
                </c:pt>
                <c:pt idx="83">
                  <c:v>0.35720118318543514</c:v>
                </c:pt>
                <c:pt idx="84">
                  <c:v>0.36150481189851269</c:v>
                </c:pt>
                <c:pt idx="85">
                  <c:v>0.36580844061159024</c:v>
                </c:pt>
                <c:pt idx="86">
                  <c:v>0.37011206932466778</c:v>
                </c:pt>
                <c:pt idx="87">
                  <c:v>0.37441569803774533</c:v>
                </c:pt>
                <c:pt idx="88">
                  <c:v>0.37871932675082282</c:v>
                </c:pt>
                <c:pt idx="89">
                  <c:v>0.38302295546390036</c:v>
                </c:pt>
                <c:pt idx="90">
                  <c:v>0.38732658417697791</c:v>
                </c:pt>
                <c:pt idx="91">
                  <c:v>0.39163021289005545</c:v>
                </c:pt>
                <c:pt idx="92">
                  <c:v>0.395933841603133</c:v>
                </c:pt>
                <c:pt idx="93">
                  <c:v>0.40023747031621054</c:v>
                </c:pt>
                <c:pt idx="94">
                  <c:v>0.40454109902928798</c:v>
                </c:pt>
                <c:pt idx="95">
                  <c:v>0.40884472774236547</c:v>
                </c:pt>
                <c:pt idx="96">
                  <c:v>0.41314835645544301</c:v>
                </c:pt>
                <c:pt idx="97">
                  <c:v>0.41745198516852056</c:v>
                </c:pt>
                <c:pt idx="98">
                  <c:v>0.4217556138815981</c:v>
                </c:pt>
                <c:pt idx="99">
                  <c:v>0.42605924259467565</c:v>
                </c:pt>
                <c:pt idx="100">
                  <c:v>0.43036287130775319</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1.1249999999999998E-2</c:v>
                </c:pt>
                <c:pt idx="1">
                  <c:v>1.3546666666666663E-2</c:v>
                </c:pt>
                <c:pt idx="2">
                  <c:v>2.7093333333333327E-2</c:v>
                </c:pt>
                <c:pt idx="3">
                  <c:v>4.0639999999999989E-2</c:v>
                </c:pt>
                <c:pt idx="4">
                  <c:v>5.4186666666666654E-2</c:v>
                </c:pt>
                <c:pt idx="5">
                  <c:v>6.773333333333334E-2</c:v>
                </c:pt>
                <c:pt idx="6">
                  <c:v>8.1279999999999977E-2</c:v>
                </c:pt>
                <c:pt idx="7">
                  <c:v>9.482666666666667E-2</c:v>
                </c:pt>
                <c:pt idx="8">
                  <c:v>0.10837333333333331</c:v>
                </c:pt>
                <c:pt idx="9">
                  <c:v>0.12191999999999997</c:v>
                </c:pt>
                <c:pt idx="10">
                  <c:v>0.13546666666666668</c:v>
                </c:pt>
                <c:pt idx="11">
                  <c:v>0.14901333333333333</c:v>
                </c:pt>
                <c:pt idx="12">
                  <c:v>0.16255999999999995</c:v>
                </c:pt>
                <c:pt idx="13">
                  <c:v>0.17610666666666663</c:v>
                </c:pt>
                <c:pt idx="14">
                  <c:v>0.18965333333333334</c:v>
                </c:pt>
                <c:pt idx="15">
                  <c:v>0.20319999999999994</c:v>
                </c:pt>
                <c:pt idx="16">
                  <c:v>0.21674666666666662</c:v>
                </c:pt>
                <c:pt idx="17">
                  <c:v>0.23442350987866112</c:v>
                </c:pt>
                <c:pt idx="18">
                  <c:v>0.25540920170469306</c:v>
                </c:pt>
                <c:pt idx="19">
                  <c:v>0.27698623268551126</c:v>
                </c:pt>
                <c:pt idx="20">
                  <c:v>0.29913881953784838</c:v>
                </c:pt>
                <c:pt idx="21">
                  <c:v>0.32185237937911854</c:v>
                </c:pt>
                <c:pt idx="22">
                  <c:v>0.34511338483871651</c:v>
                </c:pt>
                <c:pt idx="23">
                  <c:v>0.36890924253537122</c:v>
                </c:pt>
                <c:pt idx="24">
                  <c:v>0.39322819028723177</c:v>
                </c:pt>
                <c:pt idx="25">
                  <c:v>0.41805920949729436</c:v>
                </c:pt>
                <c:pt idx="26">
                  <c:v>0.44339194994928671</c:v>
                </c:pt>
                <c:pt idx="27">
                  <c:v>0.46921666484106422</c:v>
                </c:pt>
                <c:pt idx="28">
                  <c:v>0.49552415433028174</c:v>
                </c:pt>
                <c:pt idx="29">
                  <c:v>0.52230571620972577</c:v>
                </c:pt>
                <c:pt idx="30">
                  <c:v>0.42931131816944584</c:v>
                </c:pt>
                <c:pt idx="31">
                  <c:v>0.42233018107498105</c:v>
                </c:pt>
                <c:pt idx="32">
                  <c:v>0.41567889640215433</c:v>
                </c:pt>
                <c:pt idx="33">
                  <c:v>0.4093322810142781</c:v>
                </c:pt>
                <c:pt idx="34">
                  <c:v>0.40326776381323853</c:v>
                </c:pt>
                <c:pt idx="35">
                  <c:v>0.3974650474211221</c:v>
                </c:pt>
                <c:pt idx="36">
                  <c:v>0.39190582192280493</c:v>
                </c:pt>
                <c:pt idx="37">
                  <c:v>0.38657352145909696</c:v>
                </c:pt>
                <c:pt idx="38">
                  <c:v>0.38145311629042183</c:v>
                </c:pt>
                <c:pt idx="39">
                  <c:v>0.37653093437978402</c:v>
                </c:pt>
                <c:pt idx="40">
                  <c:v>0.3717945076669239</c:v>
                </c:pt>
                <c:pt idx="41">
                  <c:v>0.36723243909438352</c:v>
                </c:pt>
                <c:pt idx="42">
                  <c:v>0.36283428715401506</c:v>
                </c:pt>
                <c:pt idx="43">
                  <c:v>0.35859046528951261</c:v>
                </c:pt>
                <c:pt idx="44">
                  <c:v>0.35449215394739558</c:v>
                </c:pt>
                <c:pt idx="45">
                  <c:v>0.35053122343892756</c:v>
                </c:pt>
                <c:pt idx="46">
                  <c:v>0.3467001660767467</c:v>
                </c:pt>
                <c:pt idx="47">
                  <c:v>0.34299203629647196</c:v>
                </c:pt>
                <c:pt idx="48">
                  <c:v>0.50396825396825395</c:v>
                </c:pt>
                <c:pt idx="49">
                  <c:v>0.50396825396825395</c:v>
                </c:pt>
                <c:pt idx="50">
                  <c:v>0.50396825396825407</c:v>
                </c:pt>
                <c:pt idx="51">
                  <c:v>0.50396825396825407</c:v>
                </c:pt>
                <c:pt idx="52">
                  <c:v>0.50396825396825407</c:v>
                </c:pt>
                <c:pt idx="53">
                  <c:v>0.50396825396825407</c:v>
                </c:pt>
                <c:pt idx="54">
                  <c:v>0.50396825396825407</c:v>
                </c:pt>
                <c:pt idx="55">
                  <c:v>0.50396825396825395</c:v>
                </c:pt>
                <c:pt idx="56">
                  <c:v>0.50396825396825395</c:v>
                </c:pt>
                <c:pt idx="57">
                  <c:v>0.50396825396825407</c:v>
                </c:pt>
                <c:pt idx="58">
                  <c:v>0.50396825396825395</c:v>
                </c:pt>
                <c:pt idx="59">
                  <c:v>0.50396825396825384</c:v>
                </c:pt>
                <c:pt idx="60">
                  <c:v>0.50396825396825407</c:v>
                </c:pt>
                <c:pt idx="61">
                  <c:v>0.50396825396825395</c:v>
                </c:pt>
                <c:pt idx="62">
                  <c:v>0.50396825396825407</c:v>
                </c:pt>
                <c:pt idx="63">
                  <c:v>0.50396825396825395</c:v>
                </c:pt>
                <c:pt idx="64">
                  <c:v>0.50396825396825395</c:v>
                </c:pt>
                <c:pt idx="65">
                  <c:v>0.50396825396825395</c:v>
                </c:pt>
                <c:pt idx="66">
                  <c:v>0.50396825396825395</c:v>
                </c:pt>
                <c:pt idx="67">
                  <c:v>0.50396825396825395</c:v>
                </c:pt>
                <c:pt idx="68">
                  <c:v>0.50396825396825407</c:v>
                </c:pt>
                <c:pt idx="69">
                  <c:v>0.50396825396825407</c:v>
                </c:pt>
                <c:pt idx="70">
                  <c:v>0.50396825396825407</c:v>
                </c:pt>
                <c:pt idx="71">
                  <c:v>0.50396825396825407</c:v>
                </c:pt>
                <c:pt idx="72">
                  <c:v>0.50396825396825395</c:v>
                </c:pt>
                <c:pt idx="73">
                  <c:v>0.50396825396825395</c:v>
                </c:pt>
                <c:pt idx="74">
                  <c:v>0.50396825396825407</c:v>
                </c:pt>
                <c:pt idx="75">
                  <c:v>0.50396825396825407</c:v>
                </c:pt>
                <c:pt idx="76">
                  <c:v>0.50396825396825407</c:v>
                </c:pt>
                <c:pt idx="77">
                  <c:v>0.50396825396825395</c:v>
                </c:pt>
                <c:pt idx="78">
                  <c:v>0.50396825396825407</c:v>
                </c:pt>
                <c:pt idx="79">
                  <c:v>0.50396825396825384</c:v>
                </c:pt>
                <c:pt idx="80">
                  <c:v>0.50396825396825407</c:v>
                </c:pt>
                <c:pt idx="81">
                  <c:v>0.50396825396825407</c:v>
                </c:pt>
                <c:pt idx="82">
                  <c:v>0.50396825396825395</c:v>
                </c:pt>
                <c:pt idx="83">
                  <c:v>0.50396825396825384</c:v>
                </c:pt>
                <c:pt idx="84">
                  <c:v>0.50396825396825407</c:v>
                </c:pt>
                <c:pt idx="85">
                  <c:v>0.50396825396825407</c:v>
                </c:pt>
                <c:pt idx="86">
                  <c:v>0.50396825396825407</c:v>
                </c:pt>
                <c:pt idx="87">
                  <c:v>0.50396825396825407</c:v>
                </c:pt>
                <c:pt idx="88">
                  <c:v>0.50396825396825407</c:v>
                </c:pt>
                <c:pt idx="89">
                  <c:v>0.50396825396825407</c:v>
                </c:pt>
                <c:pt idx="90">
                  <c:v>0.50396825396825395</c:v>
                </c:pt>
                <c:pt idx="91">
                  <c:v>0.50396825396825384</c:v>
                </c:pt>
                <c:pt idx="92">
                  <c:v>0.50396825396825395</c:v>
                </c:pt>
                <c:pt idx="93">
                  <c:v>0.50396825396825407</c:v>
                </c:pt>
                <c:pt idx="94">
                  <c:v>0.50396825396825407</c:v>
                </c:pt>
                <c:pt idx="95">
                  <c:v>0.50265437969533522</c:v>
                </c:pt>
                <c:pt idx="96">
                  <c:v>0.50007823676403818</c:v>
                </c:pt>
                <c:pt idx="97">
                  <c:v>0.4975292102772419</c:v>
                </c:pt>
                <c:pt idx="98">
                  <c:v>0.4950068743354788</c:v>
                </c:pt>
                <c:pt idx="99">
                  <c:v>0.49251081191191115</c:v>
                </c:pt>
                <c:pt idx="100">
                  <c:v>0.49004061462247833</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2.5000000000000001E-2</c:v>
                </c:pt>
                <c:pt idx="1">
                  <c:v>3.0103703703703702E-2</c:v>
                </c:pt>
                <c:pt idx="2">
                  <c:v>6.0207407407407404E-2</c:v>
                </c:pt>
                <c:pt idx="3">
                  <c:v>9.0311111111111106E-2</c:v>
                </c:pt>
                <c:pt idx="4">
                  <c:v>0.12041481481481481</c:v>
                </c:pt>
                <c:pt idx="5">
                  <c:v>0.15051851851851855</c:v>
                </c:pt>
                <c:pt idx="6">
                  <c:v>0.18062222222222221</c:v>
                </c:pt>
                <c:pt idx="7">
                  <c:v>0.21072592592592598</c:v>
                </c:pt>
                <c:pt idx="8">
                  <c:v>0.24082962962962962</c:v>
                </c:pt>
                <c:pt idx="9">
                  <c:v>0.27093333333333336</c:v>
                </c:pt>
                <c:pt idx="10">
                  <c:v>0.3010370370370371</c:v>
                </c:pt>
                <c:pt idx="11">
                  <c:v>0.33114074074074079</c:v>
                </c:pt>
                <c:pt idx="12">
                  <c:v>0.36124444444444442</c:v>
                </c:pt>
                <c:pt idx="13">
                  <c:v>0.43501388203017838</c:v>
                </c:pt>
                <c:pt idx="14">
                  <c:v>0.50451314128943769</c:v>
                </c:pt>
                <c:pt idx="15">
                  <c:v>0.57916049382716039</c:v>
                </c:pt>
                <c:pt idx="16">
                  <c:v>0.65895593964334709</c:v>
                </c:pt>
                <c:pt idx="17">
                  <c:v>0.74389947873799744</c:v>
                </c:pt>
                <c:pt idx="18">
                  <c:v>0.83399111111111102</c:v>
                </c:pt>
                <c:pt idx="19">
                  <c:v>0.92923083676268892</c:v>
                </c:pt>
                <c:pt idx="20">
                  <c:v>1.0296186556927305</c:v>
                </c:pt>
                <c:pt idx="21">
                  <c:v>1.1351545679012347</c:v>
                </c:pt>
                <c:pt idx="22">
                  <c:v>1.2458385733882036</c:v>
                </c:pt>
                <c:pt idx="23">
                  <c:v>1.361670672153636</c:v>
                </c:pt>
                <c:pt idx="24">
                  <c:v>0.69304229195088674</c:v>
                </c:pt>
                <c:pt idx="25">
                  <c:v>0.69304229195088685</c:v>
                </c:pt>
                <c:pt idx="26">
                  <c:v>0.69304229195088674</c:v>
                </c:pt>
                <c:pt idx="27">
                  <c:v>0.69304229195088674</c:v>
                </c:pt>
                <c:pt idx="28">
                  <c:v>0.69304229195088674</c:v>
                </c:pt>
                <c:pt idx="29">
                  <c:v>0.69304229195088685</c:v>
                </c:pt>
                <c:pt idx="30">
                  <c:v>0.69304229195088651</c:v>
                </c:pt>
                <c:pt idx="31">
                  <c:v>0.69304229195088674</c:v>
                </c:pt>
                <c:pt idx="32">
                  <c:v>0.69304229195088685</c:v>
                </c:pt>
                <c:pt idx="33">
                  <c:v>0.69304229195088685</c:v>
                </c:pt>
                <c:pt idx="34">
                  <c:v>0.69304229195088674</c:v>
                </c:pt>
                <c:pt idx="35">
                  <c:v>0.69304229195088674</c:v>
                </c:pt>
                <c:pt idx="36">
                  <c:v>0.69304229195088685</c:v>
                </c:pt>
                <c:pt idx="37">
                  <c:v>0.69304229195088674</c:v>
                </c:pt>
                <c:pt idx="38">
                  <c:v>0.69304229195088685</c:v>
                </c:pt>
                <c:pt idx="39">
                  <c:v>0.69304229195088674</c:v>
                </c:pt>
                <c:pt idx="40">
                  <c:v>0.69304229195088685</c:v>
                </c:pt>
                <c:pt idx="41">
                  <c:v>0.69304229195088685</c:v>
                </c:pt>
                <c:pt idx="42">
                  <c:v>0.69304229195088674</c:v>
                </c:pt>
                <c:pt idx="43">
                  <c:v>0.69304229195088674</c:v>
                </c:pt>
                <c:pt idx="44">
                  <c:v>0.69304229195088674</c:v>
                </c:pt>
                <c:pt idx="45">
                  <c:v>0.69304229195088674</c:v>
                </c:pt>
                <c:pt idx="46">
                  <c:v>0.69304229195088685</c:v>
                </c:pt>
                <c:pt idx="47">
                  <c:v>0.69304229195088662</c:v>
                </c:pt>
                <c:pt idx="48">
                  <c:v>0.69304229195088674</c:v>
                </c:pt>
                <c:pt idx="49">
                  <c:v>0.69304229195088674</c:v>
                </c:pt>
                <c:pt idx="50">
                  <c:v>0.69304229195088685</c:v>
                </c:pt>
                <c:pt idx="51">
                  <c:v>0.69304229195088674</c:v>
                </c:pt>
                <c:pt idx="52">
                  <c:v>0.69304229195088674</c:v>
                </c:pt>
                <c:pt idx="53">
                  <c:v>0.69304229195088685</c:v>
                </c:pt>
                <c:pt idx="54">
                  <c:v>0.69304229195088674</c:v>
                </c:pt>
                <c:pt idx="55">
                  <c:v>0.69304229195088674</c:v>
                </c:pt>
                <c:pt idx="56">
                  <c:v>0.69304229195088674</c:v>
                </c:pt>
                <c:pt idx="57">
                  <c:v>0.69304229195088674</c:v>
                </c:pt>
                <c:pt idx="58">
                  <c:v>0.69304229195088685</c:v>
                </c:pt>
                <c:pt idx="59">
                  <c:v>0.69116933930108293</c:v>
                </c:pt>
                <c:pt idx="60">
                  <c:v>0.68762814254043503</c:v>
                </c:pt>
                <c:pt idx="61">
                  <c:v>0.68412492438235606</c:v>
                </c:pt>
                <c:pt idx="62">
                  <c:v>0.68065907711664708</c:v>
                </c:pt>
                <c:pt idx="63">
                  <c:v>0.67723000592992622</c:v>
                </c:pt>
                <c:pt idx="64">
                  <c:v>0.67383712856531275</c:v>
                </c:pt>
                <c:pt idx="65">
                  <c:v>0.67047987499283401</c:v>
                </c:pt>
                <c:pt idx="66">
                  <c:v>0.66715768709015633</c:v>
                </c:pt>
                <c:pt idx="67">
                  <c:v>0.66387001833327031</c:v>
                </c:pt>
                <c:pt idx="68">
                  <c:v>0.66061633349676752</c:v>
                </c:pt>
                <c:pt idx="69">
                  <c:v>0.65739610836336348</c:v>
                </c:pt>
                <c:pt idx="70">
                  <c:v>0.65420882944233705</c:v>
                </c:pt>
                <c:pt idx="71">
                  <c:v>0.65105399369656691</c:v>
                </c:pt>
                <c:pt idx="72">
                  <c:v>0.64793110827786171</c:v>
                </c:pt>
                <c:pt idx="73">
                  <c:v>0.64483969027029142</c:v>
                </c:pt>
                <c:pt idx="74">
                  <c:v>0.64177926644123806</c:v>
                </c:pt>
                <c:pt idx="75">
                  <c:v>0.63874937299989687</c:v>
                </c:pt>
                <c:pt idx="76">
                  <c:v>0.63574955536296962</c:v>
                </c:pt>
                <c:pt idx="77">
                  <c:v>0.63277936792730005</c:v>
                </c:pt>
                <c:pt idx="78">
                  <c:v>0.62983837384921471</c:v>
                </c:pt>
                <c:pt idx="79">
                  <c:v>0.62692614483033671</c:v>
                </c:pt>
                <c:pt idx="80">
                  <c:v>0.62404226090965575</c:v>
                </c:pt>
                <c:pt idx="81">
                  <c:v>0.62118631026163806</c:v>
                </c:pt>
                <c:pt idx="82">
                  <c:v>0.61835788900017563</c:v>
                </c:pt>
                <c:pt idx="83">
                  <c:v>0.6155566009881781</c:v>
                </c:pt>
                <c:pt idx="84">
                  <c:v>0.61278205765261684</c:v>
                </c:pt>
                <c:pt idx="85">
                  <c:v>0.61003387780484275</c:v>
                </c:pt>
                <c:pt idx="86">
                  <c:v>0.60731168746600128</c:v>
                </c:pt>
                <c:pt idx="87">
                  <c:v>0.60461511969737691</c:v>
                </c:pt>
                <c:pt idx="88">
                  <c:v>0.60194381443550604</c:v>
                </c:pt>
                <c:pt idx="89">
                  <c:v>0.59929741833190364</c:v>
                </c:pt>
                <c:pt idx="90">
                  <c:v>0.59667558459725023</c:v>
                </c:pt>
                <c:pt idx="91">
                  <c:v>0.59407797284989927</c:v>
                </c:pt>
                <c:pt idx="92">
                  <c:v>0.59150424896856379</c:v>
                </c:pt>
                <c:pt idx="93">
                  <c:v>0.58895408494904689</c:v>
                </c:pt>
                <c:pt idx="94">
                  <c:v>0.58642715876489127</c:v>
                </c:pt>
                <c:pt idx="95">
                  <c:v>0.58392315423181906</c:v>
                </c:pt>
                <c:pt idx="96">
                  <c:v>0.58144176087584432</c:v>
                </c:pt>
                <c:pt idx="97">
                  <c:v>0.57898267380494262</c:v>
                </c:pt>
                <c:pt idx="98">
                  <c:v>0.57654559358416646</c:v>
                </c:pt>
                <c:pt idx="99">
                  <c:v>0.57413022611409714</c:v>
                </c:pt>
                <c:pt idx="100">
                  <c:v>0.57173628251253239</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1.0714285714285714E-2</c:v>
                </c:pt>
                <c:pt idx="1">
                  <c:v>1.2901587301587301E-2</c:v>
                </c:pt>
                <c:pt idx="2">
                  <c:v>2.5803174603174602E-2</c:v>
                </c:pt>
                <c:pt idx="3">
                  <c:v>3.8704761904761902E-2</c:v>
                </c:pt>
                <c:pt idx="4">
                  <c:v>5.1606349206349204E-2</c:v>
                </c:pt>
                <c:pt idx="5">
                  <c:v>6.4507936507936514E-2</c:v>
                </c:pt>
                <c:pt idx="6">
                  <c:v>7.7409523809523803E-2</c:v>
                </c:pt>
                <c:pt idx="7">
                  <c:v>9.0311111111111134E-2</c:v>
                </c:pt>
                <c:pt idx="8">
                  <c:v>0.10321269841269841</c:v>
                </c:pt>
                <c:pt idx="9">
                  <c:v>0.11611428571428571</c:v>
                </c:pt>
                <c:pt idx="10">
                  <c:v>0.12901587301587303</c:v>
                </c:pt>
                <c:pt idx="11">
                  <c:v>0.14191746031746036</c:v>
                </c:pt>
                <c:pt idx="12">
                  <c:v>0.15481904761904761</c:v>
                </c:pt>
                <c:pt idx="13">
                  <c:v>0.16772063492063491</c:v>
                </c:pt>
                <c:pt idx="14">
                  <c:v>0.18062222222222227</c:v>
                </c:pt>
                <c:pt idx="15">
                  <c:v>0.19352380952380949</c:v>
                </c:pt>
                <c:pt idx="16">
                  <c:v>0.20642539682539682</c:v>
                </c:pt>
                <c:pt idx="17">
                  <c:v>0.22326048559872486</c:v>
                </c:pt>
                <c:pt idx="18">
                  <c:v>0.24324685876637428</c:v>
                </c:pt>
                <c:pt idx="19">
                  <c:v>0.26379641208143928</c:v>
                </c:pt>
                <c:pt idx="20">
                  <c:v>0.2848941138455699</c:v>
                </c:pt>
                <c:pt idx="21">
                  <c:v>0.30652607559916045</c:v>
                </c:pt>
                <c:pt idx="22">
                  <c:v>0.32867941413211094</c:v>
                </c:pt>
                <c:pt idx="23">
                  <c:v>0.35134213574797252</c:v>
                </c:pt>
                <c:pt idx="24">
                  <c:v>0.37450303836879217</c:v>
                </c:pt>
                <c:pt idx="25">
                  <c:v>0.3981516280926613</c:v>
                </c:pt>
                <c:pt idx="26">
                  <c:v>0.42227804757074922</c:v>
                </c:pt>
                <c:pt idx="27">
                  <c:v>0.44687301413434682</c:v>
                </c:pt>
                <c:pt idx="28">
                  <c:v>0.5223664197530864</c:v>
                </c:pt>
                <c:pt idx="29">
                  <c:v>0.5603445905769715</c:v>
                </c:pt>
                <c:pt idx="30">
                  <c:v>0.49177153920619548</c:v>
                </c:pt>
                <c:pt idx="31">
                  <c:v>0.4917715392061956</c:v>
                </c:pt>
                <c:pt idx="32">
                  <c:v>0.49177153920619554</c:v>
                </c:pt>
                <c:pt idx="33">
                  <c:v>0.4917715392061956</c:v>
                </c:pt>
                <c:pt idx="34">
                  <c:v>0.49177153920619548</c:v>
                </c:pt>
                <c:pt idx="35">
                  <c:v>0.49177153920619543</c:v>
                </c:pt>
                <c:pt idx="36">
                  <c:v>0.4917715392061956</c:v>
                </c:pt>
                <c:pt idx="37">
                  <c:v>0.4917715392061956</c:v>
                </c:pt>
                <c:pt idx="38">
                  <c:v>0.49177153920619554</c:v>
                </c:pt>
                <c:pt idx="39">
                  <c:v>0.49177153920619554</c:v>
                </c:pt>
                <c:pt idx="40">
                  <c:v>0.4917715392061956</c:v>
                </c:pt>
                <c:pt idx="41">
                  <c:v>0.4917715392061956</c:v>
                </c:pt>
                <c:pt idx="42">
                  <c:v>0.49177153920619554</c:v>
                </c:pt>
                <c:pt idx="43">
                  <c:v>0.49177153920619565</c:v>
                </c:pt>
                <c:pt idx="44">
                  <c:v>0.49177153920619554</c:v>
                </c:pt>
                <c:pt idx="45">
                  <c:v>0.4917715392061956</c:v>
                </c:pt>
                <c:pt idx="46">
                  <c:v>0.49177153920619554</c:v>
                </c:pt>
                <c:pt idx="47">
                  <c:v>0.49177153920619554</c:v>
                </c:pt>
                <c:pt idx="48">
                  <c:v>0.49177153920619554</c:v>
                </c:pt>
                <c:pt idx="49">
                  <c:v>0.4917715392061956</c:v>
                </c:pt>
                <c:pt idx="50">
                  <c:v>0.49177153920619554</c:v>
                </c:pt>
                <c:pt idx="51">
                  <c:v>0.49177153920619548</c:v>
                </c:pt>
                <c:pt idx="52">
                  <c:v>0.49177153920619554</c:v>
                </c:pt>
                <c:pt idx="53">
                  <c:v>0.49177153920619554</c:v>
                </c:pt>
                <c:pt idx="54">
                  <c:v>0.49177153920619548</c:v>
                </c:pt>
                <c:pt idx="55">
                  <c:v>0.49177153920619554</c:v>
                </c:pt>
                <c:pt idx="56">
                  <c:v>0.49177153920619554</c:v>
                </c:pt>
                <c:pt idx="57">
                  <c:v>0.49177153920619554</c:v>
                </c:pt>
                <c:pt idx="58">
                  <c:v>0.4917715392061956</c:v>
                </c:pt>
                <c:pt idx="59">
                  <c:v>0.4917715392061956</c:v>
                </c:pt>
                <c:pt idx="60">
                  <c:v>0.49177153920619548</c:v>
                </c:pt>
                <c:pt idx="61">
                  <c:v>0.4917715392061956</c:v>
                </c:pt>
                <c:pt idx="62">
                  <c:v>0.4917715392061956</c:v>
                </c:pt>
                <c:pt idx="63">
                  <c:v>0.49177153920619554</c:v>
                </c:pt>
                <c:pt idx="64">
                  <c:v>0.49177153920619554</c:v>
                </c:pt>
                <c:pt idx="65">
                  <c:v>0.49177153920619554</c:v>
                </c:pt>
                <c:pt idx="66">
                  <c:v>0.4917715392061956</c:v>
                </c:pt>
                <c:pt idx="67">
                  <c:v>0.49177153920619543</c:v>
                </c:pt>
                <c:pt idx="68">
                  <c:v>0.49177153920619548</c:v>
                </c:pt>
                <c:pt idx="69">
                  <c:v>0.49177153920619565</c:v>
                </c:pt>
                <c:pt idx="70">
                  <c:v>0.49177153920619543</c:v>
                </c:pt>
                <c:pt idx="71">
                  <c:v>0.49177153920619554</c:v>
                </c:pt>
                <c:pt idx="72">
                  <c:v>0.4917715392061956</c:v>
                </c:pt>
                <c:pt idx="73">
                  <c:v>0.4917715392061956</c:v>
                </c:pt>
                <c:pt idx="74">
                  <c:v>0.4917715392061956</c:v>
                </c:pt>
                <c:pt idx="75">
                  <c:v>0.49177153920619554</c:v>
                </c:pt>
                <c:pt idx="76">
                  <c:v>0.49177153920619554</c:v>
                </c:pt>
                <c:pt idx="77">
                  <c:v>0.49177153920619554</c:v>
                </c:pt>
                <c:pt idx="78">
                  <c:v>0.49177153920619554</c:v>
                </c:pt>
                <c:pt idx="79">
                  <c:v>0.4917715392061956</c:v>
                </c:pt>
                <c:pt idx="80">
                  <c:v>0.4917715392061956</c:v>
                </c:pt>
                <c:pt idx="81">
                  <c:v>0.4917715392061956</c:v>
                </c:pt>
                <c:pt idx="82">
                  <c:v>0.4917715392061956</c:v>
                </c:pt>
                <c:pt idx="83">
                  <c:v>0.49177153920619548</c:v>
                </c:pt>
                <c:pt idx="84">
                  <c:v>0.49177153920619554</c:v>
                </c:pt>
                <c:pt idx="85">
                  <c:v>0.49177153920619565</c:v>
                </c:pt>
                <c:pt idx="86">
                  <c:v>0.49177153920619565</c:v>
                </c:pt>
                <c:pt idx="87">
                  <c:v>0.49177153920619554</c:v>
                </c:pt>
                <c:pt idx="88">
                  <c:v>0.49177153920619554</c:v>
                </c:pt>
                <c:pt idx="89">
                  <c:v>0.4917715392061956</c:v>
                </c:pt>
                <c:pt idx="90">
                  <c:v>0.4917715392061956</c:v>
                </c:pt>
                <c:pt idx="91">
                  <c:v>0.4917715392061956</c:v>
                </c:pt>
                <c:pt idx="92">
                  <c:v>0.49177153920619554</c:v>
                </c:pt>
                <c:pt idx="93">
                  <c:v>0.49177153920619565</c:v>
                </c:pt>
                <c:pt idx="94">
                  <c:v>0.49177153920619554</c:v>
                </c:pt>
                <c:pt idx="95">
                  <c:v>0.49177153920619543</c:v>
                </c:pt>
                <c:pt idx="96">
                  <c:v>0.49177153920619554</c:v>
                </c:pt>
                <c:pt idx="97">
                  <c:v>0.49130834449154426</c:v>
                </c:pt>
                <c:pt idx="98">
                  <c:v>0.48878588440233883</c:v>
                </c:pt>
                <c:pt idx="99">
                  <c:v>0.48629000125637989</c:v>
                </c:pt>
                <c:pt idx="100">
                  <c:v>0.48382027722798654</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1.1249999999999998E-2</c:v>
                </c:pt>
                <c:pt idx="1">
                  <c:v>1.3546666666666663E-2</c:v>
                </c:pt>
                <c:pt idx="2">
                  <c:v>2.7093333333333327E-2</c:v>
                </c:pt>
                <c:pt idx="3">
                  <c:v>4.0639999999999989E-2</c:v>
                </c:pt>
                <c:pt idx="4">
                  <c:v>5.4186666666666654E-2</c:v>
                </c:pt>
                <c:pt idx="5">
                  <c:v>6.773333333333334E-2</c:v>
                </c:pt>
                <c:pt idx="6">
                  <c:v>8.1279999999999977E-2</c:v>
                </c:pt>
                <c:pt idx="7">
                  <c:v>9.482666666666667E-2</c:v>
                </c:pt>
                <c:pt idx="8">
                  <c:v>0.10837333333333331</c:v>
                </c:pt>
                <c:pt idx="9">
                  <c:v>0.12191999999999997</c:v>
                </c:pt>
                <c:pt idx="10">
                  <c:v>0.13546666666666668</c:v>
                </c:pt>
                <c:pt idx="11">
                  <c:v>0.14901333333333333</c:v>
                </c:pt>
                <c:pt idx="12">
                  <c:v>0.16255999999999995</c:v>
                </c:pt>
                <c:pt idx="13">
                  <c:v>0.17610666666666663</c:v>
                </c:pt>
                <c:pt idx="14">
                  <c:v>0.18965333333333334</c:v>
                </c:pt>
                <c:pt idx="15">
                  <c:v>0.20319999999999994</c:v>
                </c:pt>
                <c:pt idx="16">
                  <c:v>0.21674666666666662</c:v>
                </c:pt>
                <c:pt idx="17">
                  <c:v>0.23442350987866112</c:v>
                </c:pt>
                <c:pt idx="18">
                  <c:v>0.25540920170469306</c:v>
                </c:pt>
                <c:pt idx="19">
                  <c:v>0.27698623268551126</c:v>
                </c:pt>
                <c:pt idx="20">
                  <c:v>0.29913881953784838</c:v>
                </c:pt>
                <c:pt idx="21">
                  <c:v>0.32185237937911854</c:v>
                </c:pt>
                <c:pt idx="22">
                  <c:v>0.34511338483871651</c:v>
                </c:pt>
                <c:pt idx="23">
                  <c:v>0.36890924253537122</c:v>
                </c:pt>
                <c:pt idx="24">
                  <c:v>0.39322819028723177</c:v>
                </c:pt>
                <c:pt idx="25">
                  <c:v>0.41805920949729436</c:v>
                </c:pt>
                <c:pt idx="26">
                  <c:v>0.44339194994928671</c:v>
                </c:pt>
                <c:pt idx="27">
                  <c:v>0.46921666484106422</c:v>
                </c:pt>
                <c:pt idx="28">
                  <c:v>0.49552415433028174</c:v>
                </c:pt>
                <c:pt idx="29">
                  <c:v>0.52230571620972577</c:v>
                </c:pt>
                <c:pt idx="30">
                  <c:v>0.42931131816944584</c:v>
                </c:pt>
                <c:pt idx="31">
                  <c:v>0.42233018107498105</c:v>
                </c:pt>
                <c:pt idx="32">
                  <c:v>0.41567889640215433</c:v>
                </c:pt>
                <c:pt idx="33">
                  <c:v>0.4093322810142781</c:v>
                </c:pt>
                <c:pt idx="34">
                  <c:v>0.40326776381323853</c:v>
                </c:pt>
                <c:pt idx="35">
                  <c:v>0.3974650474211221</c:v>
                </c:pt>
                <c:pt idx="36">
                  <c:v>0.39190582192280493</c:v>
                </c:pt>
                <c:pt idx="37">
                  <c:v>0.38657352145909696</c:v>
                </c:pt>
                <c:pt idx="38">
                  <c:v>0.38145311629042183</c:v>
                </c:pt>
                <c:pt idx="39">
                  <c:v>0.37653093437978402</c:v>
                </c:pt>
                <c:pt idx="40">
                  <c:v>0.3717945076669239</c:v>
                </c:pt>
                <c:pt idx="41">
                  <c:v>0.36723243909438352</c:v>
                </c:pt>
                <c:pt idx="42">
                  <c:v>0.36283428715401506</c:v>
                </c:pt>
                <c:pt idx="43">
                  <c:v>0.35859046528951261</c:v>
                </c:pt>
                <c:pt idx="44">
                  <c:v>0.35449215394739558</c:v>
                </c:pt>
                <c:pt idx="45">
                  <c:v>0.35053122343892756</c:v>
                </c:pt>
                <c:pt idx="46">
                  <c:v>0.3467001660767467</c:v>
                </c:pt>
                <c:pt idx="47">
                  <c:v>0.34299203629647196</c:v>
                </c:pt>
                <c:pt idx="48">
                  <c:v>0.50396825396825395</c:v>
                </c:pt>
                <c:pt idx="49">
                  <c:v>0.50396825396825395</c:v>
                </c:pt>
                <c:pt idx="50">
                  <c:v>0.50396825396825407</c:v>
                </c:pt>
                <c:pt idx="51">
                  <c:v>0.50396825396825407</c:v>
                </c:pt>
                <c:pt idx="52">
                  <c:v>0.50396825396825407</c:v>
                </c:pt>
                <c:pt idx="53">
                  <c:v>0.50396825396825407</c:v>
                </c:pt>
                <c:pt idx="54">
                  <c:v>0.50396825396825407</c:v>
                </c:pt>
                <c:pt idx="55">
                  <c:v>0.50396825396825395</c:v>
                </c:pt>
                <c:pt idx="56">
                  <c:v>0.50396825396825395</c:v>
                </c:pt>
                <c:pt idx="57">
                  <c:v>0.50396825396825407</c:v>
                </c:pt>
                <c:pt idx="58">
                  <c:v>0.50396825396825395</c:v>
                </c:pt>
                <c:pt idx="59">
                  <c:v>0.50396825396825384</c:v>
                </c:pt>
                <c:pt idx="60">
                  <c:v>0.50396825396825407</c:v>
                </c:pt>
                <c:pt idx="61">
                  <c:v>0.50396825396825395</c:v>
                </c:pt>
                <c:pt idx="62">
                  <c:v>0.50396825396825407</c:v>
                </c:pt>
                <c:pt idx="63">
                  <c:v>0.50396825396825395</c:v>
                </c:pt>
                <c:pt idx="64">
                  <c:v>0.50396825396825395</c:v>
                </c:pt>
                <c:pt idx="65">
                  <c:v>0.50396825396825395</c:v>
                </c:pt>
                <c:pt idx="66">
                  <c:v>0.50396825396825395</c:v>
                </c:pt>
                <c:pt idx="67">
                  <c:v>0.50396825396825395</c:v>
                </c:pt>
                <c:pt idx="68">
                  <c:v>0.50396825396825407</c:v>
                </c:pt>
                <c:pt idx="69">
                  <c:v>0.50396825396825407</c:v>
                </c:pt>
                <c:pt idx="70">
                  <c:v>0.50396825396825407</c:v>
                </c:pt>
                <c:pt idx="71">
                  <c:v>0.50396825396825407</c:v>
                </c:pt>
                <c:pt idx="72">
                  <c:v>0.50396825396825395</c:v>
                </c:pt>
                <c:pt idx="73">
                  <c:v>0.50396825396825395</c:v>
                </c:pt>
                <c:pt idx="74">
                  <c:v>0.50396825396825407</c:v>
                </c:pt>
                <c:pt idx="75">
                  <c:v>0.50396825396825407</c:v>
                </c:pt>
                <c:pt idx="76">
                  <c:v>0.50396825396825407</c:v>
                </c:pt>
                <c:pt idx="77">
                  <c:v>0.50396825396825395</c:v>
                </c:pt>
                <c:pt idx="78">
                  <c:v>0.50396825396825407</c:v>
                </c:pt>
                <c:pt idx="79">
                  <c:v>0.50396825396825384</c:v>
                </c:pt>
                <c:pt idx="80">
                  <c:v>0.50396825396825407</c:v>
                </c:pt>
                <c:pt idx="81">
                  <c:v>0.50396825396825407</c:v>
                </c:pt>
                <c:pt idx="82">
                  <c:v>0.50396825396825395</c:v>
                </c:pt>
                <c:pt idx="83">
                  <c:v>0.50396825396825384</c:v>
                </c:pt>
                <c:pt idx="84">
                  <c:v>0.50396825396825407</c:v>
                </c:pt>
                <c:pt idx="85">
                  <c:v>0.50396825396825407</c:v>
                </c:pt>
                <c:pt idx="86">
                  <c:v>0.50396825396825407</c:v>
                </c:pt>
                <c:pt idx="87">
                  <c:v>0.50396825396825407</c:v>
                </c:pt>
                <c:pt idx="88">
                  <c:v>0.50396825396825407</c:v>
                </c:pt>
                <c:pt idx="89">
                  <c:v>0.50396825396825407</c:v>
                </c:pt>
                <c:pt idx="90">
                  <c:v>0.50396825396825395</c:v>
                </c:pt>
                <c:pt idx="91">
                  <c:v>0.50396825396825384</c:v>
                </c:pt>
                <c:pt idx="92">
                  <c:v>0.50396825396825395</c:v>
                </c:pt>
                <c:pt idx="93">
                  <c:v>0.50396825396825407</c:v>
                </c:pt>
                <c:pt idx="94">
                  <c:v>0.50396825396825407</c:v>
                </c:pt>
                <c:pt idx="95">
                  <c:v>0.50265437969533522</c:v>
                </c:pt>
                <c:pt idx="96">
                  <c:v>0.50007823676403818</c:v>
                </c:pt>
                <c:pt idx="97">
                  <c:v>0.4975292102772419</c:v>
                </c:pt>
                <c:pt idx="98">
                  <c:v>0.4950068743354788</c:v>
                </c:pt>
                <c:pt idx="99">
                  <c:v>0.49251081191191115</c:v>
                </c:pt>
                <c:pt idx="100">
                  <c:v>0.49004061462247833</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2.5000000000000001E-2</c:v>
                </c:pt>
                <c:pt idx="1">
                  <c:v>3.0103703703703702E-2</c:v>
                </c:pt>
                <c:pt idx="2">
                  <c:v>6.0207407407407404E-2</c:v>
                </c:pt>
                <c:pt idx="3">
                  <c:v>9.0311111111111106E-2</c:v>
                </c:pt>
                <c:pt idx="4">
                  <c:v>0.12041481481481481</c:v>
                </c:pt>
                <c:pt idx="5">
                  <c:v>0.15051851851851855</c:v>
                </c:pt>
                <c:pt idx="6">
                  <c:v>0.18062222222222221</c:v>
                </c:pt>
                <c:pt idx="7">
                  <c:v>0.21072592592592598</c:v>
                </c:pt>
                <c:pt idx="8">
                  <c:v>0.24082962962962962</c:v>
                </c:pt>
                <c:pt idx="9">
                  <c:v>0.27093333333333336</c:v>
                </c:pt>
                <c:pt idx="10">
                  <c:v>0.3010370370370371</c:v>
                </c:pt>
                <c:pt idx="11">
                  <c:v>0.33114074074074079</c:v>
                </c:pt>
                <c:pt idx="12">
                  <c:v>0.36124444444444442</c:v>
                </c:pt>
                <c:pt idx="13">
                  <c:v>0.43501388203017838</c:v>
                </c:pt>
                <c:pt idx="14">
                  <c:v>0.50451314128943769</c:v>
                </c:pt>
                <c:pt idx="15">
                  <c:v>0.57916049382716039</c:v>
                </c:pt>
                <c:pt idx="16">
                  <c:v>0.65895593964334709</c:v>
                </c:pt>
                <c:pt idx="17">
                  <c:v>0.74389947873799744</c:v>
                </c:pt>
                <c:pt idx="18">
                  <c:v>0.83399111111111102</c:v>
                </c:pt>
                <c:pt idx="19">
                  <c:v>0.92923083676268892</c:v>
                </c:pt>
                <c:pt idx="20">
                  <c:v>1.0296186556927305</c:v>
                </c:pt>
                <c:pt idx="21">
                  <c:v>1.1351545679012347</c:v>
                </c:pt>
                <c:pt idx="22">
                  <c:v>1.2458385733882036</c:v>
                </c:pt>
                <c:pt idx="23">
                  <c:v>1.361670672153636</c:v>
                </c:pt>
                <c:pt idx="24">
                  <c:v>0.69304229195088674</c:v>
                </c:pt>
                <c:pt idx="25">
                  <c:v>0.69304229195088685</c:v>
                </c:pt>
                <c:pt idx="26">
                  <c:v>0.69304229195088674</c:v>
                </c:pt>
                <c:pt idx="27">
                  <c:v>0.69304229195088674</c:v>
                </c:pt>
                <c:pt idx="28">
                  <c:v>0.69304229195088674</c:v>
                </c:pt>
                <c:pt idx="29">
                  <c:v>0.69304229195088685</c:v>
                </c:pt>
                <c:pt idx="30">
                  <c:v>0.69304229195088651</c:v>
                </c:pt>
                <c:pt idx="31">
                  <c:v>0.69304229195088674</c:v>
                </c:pt>
                <c:pt idx="32">
                  <c:v>0.69304229195088685</c:v>
                </c:pt>
                <c:pt idx="33">
                  <c:v>0.69304229195088685</c:v>
                </c:pt>
                <c:pt idx="34">
                  <c:v>0.69304229195088674</c:v>
                </c:pt>
                <c:pt idx="35">
                  <c:v>0.69304229195088674</c:v>
                </c:pt>
                <c:pt idx="36">
                  <c:v>0.69304229195088685</c:v>
                </c:pt>
                <c:pt idx="37">
                  <c:v>0.69304229195088674</c:v>
                </c:pt>
                <c:pt idx="38">
                  <c:v>0.69304229195088685</c:v>
                </c:pt>
                <c:pt idx="39">
                  <c:v>0.69304229195088674</c:v>
                </c:pt>
                <c:pt idx="40">
                  <c:v>0.69304229195088685</c:v>
                </c:pt>
                <c:pt idx="41">
                  <c:v>0.69304229195088685</c:v>
                </c:pt>
                <c:pt idx="42">
                  <c:v>0.69304229195088674</c:v>
                </c:pt>
                <c:pt idx="43">
                  <c:v>0.69304229195088674</c:v>
                </c:pt>
                <c:pt idx="44">
                  <c:v>0.69304229195088674</c:v>
                </c:pt>
                <c:pt idx="45">
                  <c:v>0.69304229195088674</c:v>
                </c:pt>
                <c:pt idx="46">
                  <c:v>0.69304229195088685</c:v>
                </c:pt>
                <c:pt idx="47">
                  <c:v>0.69304229195088662</c:v>
                </c:pt>
                <c:pt idx="48">
                  <c:v>0.69304229195088674</c:v>
                </c:pt>
                <c:pt idx="49">
                  <c:v>0.69304229195088674</c:v>
                </c:pt>
                <c:pt idx="50">
                  <c:v>0.69304229195088685</c:v>
                </c:pt>
                <c:pt idx="51">
                  <c:v>0.69304229195088674</c:v>
                </c:pt>
                <c:pt idx="52">
                  <c:v>0.69304229195088674</c:v>
                </c:pt>
                <c:pt idx="53">
                  <c:v>0.69304229195088685</c:v>
                </c:pt>
                <c:pt idx="54">
                  <c:v>0.69304229195088674</c:v>
                </c:pt>
                <c:pt idx="55">
                  <c:v>0.69304229195088674</c:v>
                </c:pt>
                <c:pt idx="56">
                  <c:v>0.69304229195088674</c:v>
                </c:pt>
                <c:pt idx="57">
                  <c:v>0.69304229195088674</c:v>
                </c:pt>
                <c:pt idx="58">
                  <c:v>0.69304229195088685</c:v>
                </c:pt>
                <c:pt idx="59">
                  <c:v>0.69116933930108293</c:v>
                </c:pt>
                <c:pt idx="60">
                  <c:v>0.68762814254043503</c:v>
                </c:pt>
                <c:pt idx="61">
                  <c:v>0.68412492438235606</c:v>
                </c:pt>
                <c:pt idx="62">
                  <c:v>0.68065907711664708</c:v>
                </c:pt>
                <c:pt idx="63">
                  <c:v>0.67723000592992622</c:v>
                </c:pt>
                <c:pt idx="64">
                  <c:v>0.67383712856531275</c:v>
                </c:pt>
                <c:pt idx="65">
                  <c:v>0.67047987499283401</c:v>
                </c:pt>
                <c:pt idx="66">
                  <c:v>0.66715768709015633</c:v>
                </c:pt>
                <c:pt idx="67">
                  <c:v>0.66387001833327031</c:v>
                </c:pt>
                <c:pt idx="68">
                  <c:v>0.66061633349676752</c:v>
                </c:pt>
                <c:pt idx="69">
                  <c:v>0.65739610836336348</c:v>
                </c:pt>
                <c:pt idx="70">
                  <c:v>0.65420882944233705</c:v>
                </c:pt>
                <c:pt idx="71">
                  <c:v>0.65105399369656691</c:v>
                </c:pt>
                <c:pt idx="72">
                  <c:v>0.64793110827786171</c:v>
                </c:pt>
                <c:pt idx="73">
                  <c:v>0.64483969027029142</c:v>
                </c:pt>
                <c:pt idx="74">
                  <c:v>0.64177926644123806</c:v>
                </c:pt>
                <c:pt idx="75">
                  <c:v>0.63874937299989687</c:v>
                </c:pt>
                <c:pt idx="76">
                  <c:v>0.63574955536296962</c:v>
                </c:pt>
                <c:pt idx="77">
                  <c:v>0.63277936792730005</c:v>
                </c:pt>
                <c:pt idx="78">
                  <c:v>0.62983837384921471</c:v>
                </c:pt>
                <c:pt idx="79">
                  <c:v>0.62692614483033671</c:v>
                </c:pt>
                <c:pt idx="80">
                  <c:v>0.62404226090965575</c:v>
                </c:pt>
                <c:pt idx="81">
                  <c:v>0.62118631026163806</c:v>
                </c:pt>
                <c:pt idx="82">
                  <c:v>0.61835788900017563</c:v>
                </c:pt>
                <c:pt idx="83">
                  <c:v>0.6155566009881781</c:v>
                </c:pt>
                <c:pt idx="84">
                  <c:v>0.61278205765261684</c:v>
                </c:pt>
                <c:pt idx="85">
                  <c:v>0.61003387780484275</c:v>
                </c:pt>
                <c:pt idx="86">
                  <c:v>0.60731168746600128</c:v>
                </c:pt>
                <c:pt idx="87">
                  <c:v>0.60461511969737691</c:v>
                </c:pt>
                <c:pt idx="88">
                  <c:v>0.60194381443550604</c:v>
                </c:pt>
                <c:pt idx="89">
                  <c:v>0.59929741833190364</c:v>
                </c:pt>
                <c:pt idx="90">
                  <c:v>0.59667558459725023</c:v>
                </c:pt>
                <c:pt idx="91">
                  <c:v>0.59407797284989927</c:v>
                </c:pt>
                <c:pt idx="92">
                  <c:v>0.59150424896856379</c:v>
                </c:pt>
                <c:pt idx="93">
                  <c:v>0.58895408494904689</c:v>
                </c:pt>
                <c:pt idx="94">
                  <c:v>0.58642715876489127</c:v>
                </c:pt>
                <c:pt idx="95">
                  <c:v>0.58392315423181906</c:v>
                </c:pt>
                <c:pt idx="96">
                  <c:v>0.58144176087584432</c:v>
                </c:pt>
                <c:pt idx="97">
                  <c:v>0.57898267380494262</c:v>
                </c:pt>
                <c:pt idx="98">
                  <c:v>0.57654559358416646</c:v>
                </c:pt>
                <c:pt idx="99">
                  <c:v>0.57413022611409714</c:v>
                </c:pt>
                <c:pt idx="100">
                  <c:v>0.57173628251253239</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1.0714285714285714E-2</c:v>
                </c:pt>
                <c:pt idx="1">
                  <c:v>1.2901587301587301E-2</c:v>
                </c:pt>
                <c:pt idx="2">
                  <c:v>2.5803174603174602E-2</c:v>
                </c:pt>
                <c:pt idx="3">
                  <c:v>3.8704761904761902E-2</c:v>
                </c:pt>
                <c:pt idx="4">
                  <c:v>5.1606349206349204E-2</c:v>
                </c:pt>
                <c:pt idx="5">
                  <c:v>6.4507936507936514E-2</c:v>
                </c:pt>
                <c:pt idx="6">
                  <c:v>7.7409523809523803E-2</c:v>
                </c:pt>
                <c:pt idx="7">
                  <c:v>9.0311111111111134E-2</c:v>
                </c:pt>
                <c:pt idx="8">
                  <c:v>0.10321269841269841</c:v>
                </c:pt>
                <c:pt idx="9">
                  <c:v>0.11611428571428571</c:v>
                </c:pt>
                <c:pt idx="10">
                  <c:v>0.12901587301587303</c:v>
                </c:pt>
                <c:pt idx="11">
                  <c:v>0.14191746031746036</c:v>
                </c:pt>
                <c:pt idx="12">
                  <c:v>0.15481904761904761</c:v>
                </c:pt>
                <c:pt idx="13">
                  <c:v>0.16772063492063491</c:v>
                </c:pt>
                <c:pt idx="14">
                  <c:v>0.18062222222222227</c:v>
                </c:pt>
                <c:pt idx="15">
                  <c:v>0.19352380952380949</c:v>
                </c:pt>
                <c:pt idx="16">
                  <c:v>0.20642539682539682</c:v>
                </c:pt>
                <c:pt idx="17">
                  <c:v>0.22326048559872486</c:v>
                </c:pt>
                <c:pt idx="18">
                  <c:v>0.24324685876637428</c:v>
                </c:pt>
                <c:pt idx="19">
                  <c:v>0.26379641208143928</c:v>
                </c:pt>
                <c:pt idx="20">
                  <c:v>0.2848941138455699</c:v>
                </c:pt>
                <c:pt idx="21">
                  <c:v>0.30652607559916045</c:v>
                </c:pt>
                <c:pt idx="22">
                  <c:v>0.32867941413211094</c:v>
                </c:pt>
                <c:pt idx="23">
                  <c:v>0.35134213574797252</c:v>
                </c:pt>
                <c:pt idx="24">
                  <c:v>0.37450303836879217</c:v>
                </c:pt>
                <c:pt idx="25">
                  <c:v>0.3981516280926613</c:v>
                </c:pt>
                <c:pt idx="26">
                  <c:v>0.42227804757074922</c:v>
                </c:pt>
                <c:pt idx="27">
                  <c:v>0.44687301413434682</c:v>
                </c:pt>
                <c:pt idx="28">
                  <c:v>0.5223664197530864</c:v>
                </c:pt>
                <c:pt idx="29">
                  <c:v>0.5603445905769715</c:v>
                </c:pt>
                <c:pt idx="30">
                  <c:v>0.49177153920619548</c:v>
                </c:pt>
                <c:pt idx="31">
                  <c:v>0.4917715392061956</c:v>
                </c:pt>
                <c:pt idx="32">
                  <c:v>0.49177153920619554</c:v>
                </c:pt>
                <c:pt idx="33">
                  <c:v>0.4917715392061956</c:v>
                </c:pt>
                <c:pt idx="34">
                  <c:v>0.49177153920619548</c:v>
                </c:pt>
                <c:pt idx="35">
                  <c:v>0.49177153920619543</c:v>
                </c:pt>
                <c:pt idx="36">
                  <c:v>0.4917715392061956</c:v>
                </c:pt>
                <c:pt idx="37">
                  <c:v>0.4917715392061956</c:v>
                </c:pt>
                <c:pt idx="38">
                  <c:v>0.49177153920619554</c:v>
                </c:pt>
                <c:pt idx="39">
                  <c:v>0.49177153920619554</c:v>
                </c:pt>
                <c:pt idx="40">
                  <c:v>0.4917715392061956</c:v>
                </c:pt>
                <c:pt idx="41">
                  <c:v>0.4917715392061956</c:v>
                </c:pt>
                <c:pt idx="42">
                  <c:v>0.49177153920619554</c:v>
                </c:pt>
                <c:pt idx="43">
                  <c:v>0.49177153920619565</c:v>
                </c:pt>
                <c:pt idx="44">
                  <c:v>0.49177153920619554</c:v>
                </c:pt>
                <c:pt idx="45">
                  <c:v>0.4917715392061956</c:v>
                </c:pt>
                <c:pt idx="46">
                  <c:v>0.49177153920619554</c:v>
                </c:pt>
                <c:pt idx="47">
                  <c:v>0.49177153920619554</c:v>
                </c:pt>
                <c:pt idx="48">
                  <c:v>0.49177153920619554</c:v>
                </c:pt>
                <c:pt idx="49">
                  <c:v>0.4917715392061956</c:v>
                </c:pt>
                <c:pt idx="50">
                  <c:v>0.49177153920619554</c:v>
                </c:pt>
                <c:pt idx="51">
                  <c:v>0.49177153920619548</c:v>
                </c:pt>
                <c:pt idx="52">
                  <c:v>0.49177153920619554</c:v>
                </c:pt>
                <c:pt idx="53">
                  <c:v>0.49177153920619554</c:v>
                </c:pt>
                <c:pt idx="54">
                  <c:v>0.49177153920619548</c:v>
                </c:pt>
                <c:pt idx="55">
                  <c:v>0.49177153920619554</c:v>
                </c:pt>
                <c:pt idx="56">
                  <c:v>0.49177153920619554</c:v>
                </c:pt>
                <c:pt idx="57">
                  <c:v>0.49177153920619554</c:v>
                </c:pt>
                <c:pt idx="58">
                  <c:v>0.4917715392061956</c:v>
                </c:pt>
                <c:pt idx="59">
                  <c:v>0.4917715392061956</c:v>
                </c:pt>
                <c:pt idx="60">
                  <c:v>0.49177153920619548</c:v>
                </c:pt>
                <c:pt idx="61">
                  <c:v>0.4917715392061956</c:v>
                </c:pt>
                <c:pt idx="62">
                  <c:v>0.4917715392061956</c:v>
                </c:pt>
                <c:pt idx="63">
                  <c:v>0.49177153920619554</c:v>
                </c:pt>
                <c:pt idx="64">
                  <c:v>0.49177153920619554</c:v>
                </c:pt>
                <c:pt idx="65">
                  <c:v>0.49177153920619554</c:v>
                </c:pt>
                <c:pt idx="66">
                  <c:v>0.4917715392061956</c:v>
                </c:pt>
                <c:pt idx="67">
                  <c:v>0.49177153920619543</c:v>
                </c:pt>
                <c:pt idx="68">
                  <c:v>0.49177153920619548</c:v>
                </c:pt>
                <c:pt idx="69">
                  <c:v>0.49177153920619565</c:v>
                </c:pt>
                <c:pt idx="70">
                  <c:v>0.49177153920619543</c:v>
                </c:pt>
                <c:pt idx="71">
                  <c:v>0.49177153920619554</c:v>
                </c:pt>
                <c:pt idx="72">
                  <c:v>0.4917715392061956</c:v>
                </c:pt>
                <c:pt idx="73">
                  <c:v>0.4917715392061956</c:v>
                </c:pt>
                <c:pt idx="74">
                  <c:v>0.4917715392061956</c:v>
                </c:pt>
                <c:pt idx="75">
                  <c:v>0.49177153920619554</c:v>
                </c:pt>
                <c:pt idx="76">
                  <c:v>0.49177153920619554</c:v>
                </c:pt>
                <c:pt idx="77">
                  <c:v>0.49177153920619554</c:v>
                </c:pt>
                <c:pt idx="78">
                  <c:v>0.49177153920619554</c:v>
                </c:pt>
                <c:pt idx="79">
                  <c:v>0.4917715392061956</c:v>
                </c:pt>
                <c:pt idx="80">
                  <c:v>0.4917715392061956</c:v>
                </c:pt>
                <c:pt idx="81">
                  <c:v>0.4917715392061956</c:v>
                </c:pt>
                <c:pt idx="82">
                  <c:v>0.4917715392061956</c:v>
                </c:pt>
                <c:pt idx="83">
                  <c:v>0.49177153920619548</c:v>
                </c:pt>
                <c:pt idx="84">
                  <c:v>0.49177153920619554</c:v>
                </c:pt>
                <c:pt idx="85">
                  <c:v>0.49177153920619565</c:v>
                </c:pt>
                <c:pt idx="86">
                  <c:v>0.49177153920619565</c:v>
                </c:pt>
                <c:pt idx="87">
                  <c:v>0.49177153920619554</c:v>
                </c:pt>
                <c:pt idx="88">
                  <c:v>0.49177153920619554</c:v>
                </c:pt>
                <c:pt idx="89">
                  <c:v>0.4917715392061956</c:v>
                </c:pt>
                <c:pt idx="90">
                  <c:v>0.4917715392061956</c:v>
                </c:pt>
                <c:pt idx="91">
                  <c:v>0.4917715392061956</c:v>
                </c:pt>
                <c:pt idx="92">
                  <c:v>0.49177153920619554</c:v>
                </c:pt>
                <c:pt idx="93">
                  <c:v>0.49177153920619565</c:v>
                </c:pt>
                <c:pt idx="94">
                  <c:v>0.49177153920619554</c:v>
                </c:pt>
                <c:pt idx="95">
                  <c:v>0.49177153920619543</c:v>
                </c:pt>
                <c:pt idx="96">
                  <c:v>0.49177153920619554</c:v>
                </c:pt>
                <c:pt idx="97">
                  <c:v>0.49130834449154426</c:v>
                </c:pt>
                <c:pt idx="98">
                  <c:v>0.48878588440233883</c:v>
                </c:pt>
                <c:pt idx="99">
                  <c:v>0.48629000125637989</c:v>
                </c:pt>
                <c:pt idx="100">
                  <c:v>0.48382027722798654</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0.16673665791776029</c:v>
                </c:pt>
                <c:pt idx="14">
                  <c:v>0.17956255468066493</c:v>
                </c:pt>
                <c:pt idx="15">
                  <c:v>0.19238845144356959</c:v>
                </c:pt>
                <c:pt idx="16">
                  <c:v>0.20521434820647422</c:v>
                </c:pt>
                <c:pt idx="17">
                  <c:v>0.21804024496937888</c:v>
                </c:pt>
                <c:pt idx="18">
                  <c:v>0.23086614173228345</c:v>
                </c:pt>
                <c:pt idx="19">
                  <c:v>0.24369203849518817</c:v>
                </c:pt>
                <c:pt idx="20">
                  <c:v>0.25651793525809286</c:v>
                </c:pt>
                <c:pt idx="21">
                  <c:v>0.26934383202099738</c:v>
                </c:pt>
                <c:pt idx="22">
                  <c:v>0.28216972878390206</c:v>
                </c:pt>
                <c:pt idx="23">
                  <c:v>0.29499562554680669</c:v>
                </c:pt>
                <c:pt idx="24">
                  <c:v>0.30782152230971133</c:v>
                </c:pt>
                <c:pt idx="25">
                  <c:v>0.32064741907261596</c:v>
                </c:pt>
                <c:pt idx="26">
                  <c:v>0.33347331583552059</c:v>
                </c:pt>
                <c:pt idx="27">
                  <c:v>0.34629921259842528</c:v>
                </c:pt>
                <c:pt idx="28">
                  <c:v>0.35912510936132985</c:v>
                </c:pt>
                <c:pt idx="29">
                  <c:v>0.37195100612423454</c:v>
                </c:pt>
                <c:pt idx="30">
                  <c:v>0.38477690288713917</c:v>
                </c:pt>
                <c:pt idx="31">
                  <c:v>0.3976027996500438</c:v>
                </c:pt>
                <c:pt idx="32">
                  <c:v>0.41042869641294843</c:v>
                </c:pt>
                <c:pt idx="33">
                  <c:v>0.42325459317585312</c:v>
                </c:pt>
                <c:pt idx="34">
                  <c:v>0.43608048993875775</c:v>
                </c:pt>
                <c:pt idx="35">
                  <c:v>0.44890638670166227</c:v>
                </c:pt>
                <c:pt idx="36">
                  <c:v>0.46173228346456691</c:v>
                </c:pt>
                <c:pt idx="37">
                  <c:v>0.47455818022747154</c:v>
                </c:pt>
                <c:pt idx="38">
                  <c:v>0.48738407699037634</c:v>
                </c:pt>
                <c:pt idx="39">
                  <c:v>0.50020997375328102</c:v>
                </c:pt>
                <c:pt idx="40">
                  <c:v>0.51303587051618571</c:v>
                </c:pt>
                <c:pt idx="41">
                  <c:v>0.52586176727909018</c:v>
                </c:pt>
                <c:pt idx="42">
                  <c:v>0.53868766404199475</c:v>
                </c:pt>
                <c:pt idx="43">
                  <c:v>0.55151356080489944</c:v>
                </c:pt>
                <c:pt idx="44">
                  <c:v>0.56433945756780413</c:v>
                </c:pt>
                <c:pt idx="45">
                  <c:v>0.5771653543307087</c:v>
                </c:pt>
                <c:pt idx="46">
                  <c:v>0.58999125109361339</c:v>
                </c:pt>
                <c:pt idx="47">
                  <c:v>0.60281714785651797</c:v>
                </c:pt>
                <c:pt idx="48">
                  <c:v>0.61564304461942265</c:v>
                </c:pt>
                <c:pt idx="49">
                  <c:v>0.62846894138232723</c:v>
                </c:pt>
                <c:pt idx="50">
                  <c:v>0.64129483814523192</c:v>
                </c:pt>
                <c:pt idx="51">
                  <c:v>0.6541207349081366</c:v>
                </c:pt>
                <c:pt idx="52">
                  <c:v>0.66694663167104118</c:v>
                </c:pt>
                <c:pt idx="53">
                  <c:v>0.67977252843394587</c:v>
                </c:pt>
                <c:pt idx="54">
                  <c:v>0.69259842519685055</c:v>
                </c:pt>
                <c:pt idx="55">
                  <c:v>0.70542432195975513</c:v>
                </c:pt>
                <c:pt idx="56">
                  <c:v>0.71825021872265971</c:v>
                </c:pt>
                <c:pt idx="57">
                  <c:v>0.73107611548556417</c:v>
                </c:pt>
                <c:pt idx="58">
                  <c:v>0.74390201224846908</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0.75</c:v>
                </c:pt>
                <c:pt idx="89">
                  <c:v>0.75</c:v>
                </c:pt>
                <c:pt idx="90">
                  <c:v>0.75</c:v>
                </c:pt>
                <c:pt idx="91">
                  <c:v>0.75</c:v>
                </c:pt>
                <c:pt idx="92">
                  <c:v>0.75</c:v>
                </c:pt>
                <c:pt idx="93">
                  <c:v>0.75</c:v>
                </c:pt>
                <c:pt idx="94">
                  <c:v>0.75</c:v>
                </c:pt>
                <c:pt idx="95">
                  <c:v>0.75</c:v>
                </c:pt>
                <c:pt idx="96">
                  <c:v>0.75</c:v>
                </c:pt>
                <c:pt idx="97">
                  <c:v>0.75</c:v>
                </c:pt>
                <c:pt idx="98">
                  <c:v>0.75</c:v>
                </c:pt>
                <c:pt idx="99">
                  <c:v>0.75</c:v>
                </c:pt>
                <c:pt idx="100">
                  <c:v>0.75</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Dual'!$AI$5:$AI$105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0.15269016246728445</c:v>
                </c:pt>
                <c:pt idx="18">
                  <c:v>0.15711688096991452</c:v>
                </c:pt>
                <c:pt idx="19">
                  <c:v>0.16142225019229184</c:v>
                </c:pt>
                <c:pt idx="20">
                  <c:v>0.16561573424216505</c:v>
                </c:pt>
                <c:pt idx="21">
                  <c:v>0.16970562748477142</c:v>
                </c:pt>
                <c:pt idx="22">
                  <c:v>0.17369924746937904</c:v>
                </c:pt>
                <c:pt idx="23">
                  <c:v>0.17760308877622921</c:v>
                </c:pt>
                <c:pt idx="24">
                  <c:v>0.18142294704442907</c:v>
                </c:pt>
                <c:pt idx="25">
                  <c:v>0.18516401995451032</c:v>
                </c:pt>
                <c:pt idx="26">
                  <c:v>0.18883099019266639</c:v>
                </c:pt>
                <c:pt idx="27">
                  <c:v>0.19242809417694559</c:v>
                </c:pt>
                <c:pt idx="28">
                  <c:v>0.19595917942265426</c:v>
                </c:pt>
                <c:pt idx="29">
                  <c:v>0.199427752761316</c:v>
                </c:pt>
                <c:pt idx="30">
                  <c:v>0.202837021134844</c:v>
                </c:pt>
                <c:pt idx="31">
                  <c:v>0.20618992631621391</c:v>
                </c:pt>
                <c:pt idx="32">
                  <c:v>0.20948917462655273</c:v>
                </c:pt>
                <c:pt idx="33">
                  <c:v>0.21273726250270042</c:v>
                </c:pt>
                <c:pt idx="34">
                  <c:v>0.215936498602185</c:v>
                </c:pt>
                <c:pt idx="35">
                  <c:v>0.21908902300206645</c:v>
                </c:pt>
                <c:pt idx="36">
                  <c:v>0.22219682394541235</c:v>
                </c:pt>
                <c:pt idx="37">
                  <c:v>0.22526175250773742</c:v>
                </c:pt>
                <c:pt idx="38">
                  <c:v>0.22828553549072209</c:v>
                </c:pt>
                <c:pt idx="39">
                  <c:v>0.23126978679826363</c:v>
                </c:pt>
                <c:pt idx="40">
                  <c:v>0.23421601750764801</c:v>
                </c:pt>
                <c:pt idx="41">
                  <c:v>0.23712564481424492</c:v>
                </c:pt>
                <c:pt idx="42">
                  <c:v>0.24000000000000002</c:v>
                </c:pt>
                <c:pt idx="43">
                  <c:v>0.24284033555286605</c:v>
                </c:pt>
                <c:pt idx="44">
                  <c:v>0.24564783154519634</c:v>
                </c:pt>
                <c:pt idx="45">
                  <c:v>0.24842360136324754</c:v>
                </c:pt>
                <c:pt idx="46">
                  <c:v>0.25116869686669613</c:v>
                </c:pt>
                <c:pt idx="47">
                  <c:v>0.25388411304597786</c:v>
                </c:pt>
                <c:pt idx="48">
                  <c:v>0.38097637795275591</c:v>
                </c:pt>
                <c:pt idx="49">
                  <c:v>0.38891338582677165</c:v>
                </c:pt>
                <c:pt idx="50">
                  <c:v>0.3968503937007874</c:v>
                </c:pt>
                <c:pt idx="51">
                  <c:v>0.4047874015748032</c:v>
                </c:pt>
                <c:pt idx="52">
                  <c:v>0.41272440944881894</c:v>
                </c:pt>
                <c:pt idx="53">
                  <c:v>0.42066141732283469</c:v>
                </c:pt>
                <c:pt idx="54">
                  <c:v>0.42859842519685043</c:v>
                </c:pt>
                <c:pt idx="55">
                  <c:v>0.43653543307086617</c:v>
                </c:pt>
                <c:pt idx="56">
                  <c:v>0.44447244094488192</c:v>
                </c:pt>
                <c:pt idx="57">
                  <c:v>0.45240944881889755</c:v>
                </c:pt>
                <c:pt idx="58">
                  <c:v>0.46034645669291341</c:v>
                </c:pt>
                <c:pt idx="59">
                  <c:v>0.4682834645669291</c:v>
                </c:pt>
                <c:pt idx="60">
                  <c:v>0.47622047244094495</c:v>
                </c:pt>
                <c:pt idx="61">
                  <c:v>0.48415748031496059</c:v>
                </c:pt>
                <c:pt idx="62">
                  <c:v>0.49209448818897644</c:v>
                </c:pt>
                <c:pt idx="63">
                  <c:v>0.50003149606299213</c:v>
                </c:pt>
                <c:pt idx="64">
                  <c:v>0.50796850393700799</c:v>
                </c:pt>
                <c:pt idx="65">
                  <c:v>0.51590551181102362</c:v>
                </c:pt>
                <c:pt idx="66">
                  <c:v>0.52384251968503948</c:v>
                </c:pt>
                <c:pt idx="67">
                  <c:v>0.53177952755905511</c:v>
                </c:pt>
                <c:pt idx="68">
                  <c:v>0.53971653543307097</c:v>
                </c:pt>
                <c:pt idx="69">
                  <c:v>0.5476535433070866</c:v>
                </c:pt>
                <c:pt idx="70">
                  <c:v>0.55559055118110223</c:v>
                </c:pt>
                <c:pt idx="71">
                  <c:v>0.56352755905511809</c:v>
                </c:pt>
                <c:pt idx="72">
                  <c:v>0.57146456692913383</c:v>
                </c:pt>
                <c:pt idx="73">
                  <c:v>0.57940157480314969</c:v>
                </c:pt>
                <c:pt idx="74">
                  <c:v>0.58733858267716532</c:v>
                </c:pt>
                <c:pt idx="75">
                  <c:v>0.59527559055118118</c:v>
                </c:pt>
                <c:pt idx="76">
                  <c:v>0.60321259842519703</c:v>
                </c:pt>
                <c:pt idx="77">
                  <c:v>0.61114960629921267</c:v>
                </c:pt>
                <c:pt idx="78">
                  <c:v>0.61908661417322852</c:v>
                </c:pt>
                <c:pt idx="79">
                  <c:v>0.62702362204724416</c:v>
                </c:pt>
                <c:pt idx="80">
                  <c:v>0.63496062992126001</c:v>
                </c:pt>
                <c:pt idx="81">
                  <c:v>0.64289763779527564</c:v>
                </c:pt>
                <c:pt idx="82">
                  <c:v>0.65083464566929139</c:v>
                </c:pt>
                <c:pt idx="83">
                  <c:v>0.65877165354330725</c:v>
                </c:pt>
                <c:pt idx="84">
                  <c:v>0.66670866141732288</c:v>
                </c:pt>
                <c:pt idx="85">
                  <c:v>0.67464566929133873</c:v>
                </c:pt>
                <c:pt idx="86">
                  <c:v>0.68258267716535437</c:v>
                </c:pt>
                <c:pt idx="87">
                  <c:v>0.69051968503937022</c:v>
                </c:pt>
                <c:pt idx="88">
                  <c:v>0.69845669291338586</c:v>
                </c:pt>
                <c:pt idx="89">
                  <c:v>0.70639370078740171</c:v>
                </c:pt>
                <c:pt idx="90">
                  <c:v>0.71433070866141735</c:v>
                </c:pt>
                <c:pt idx="91">
                  <c:v>0.7222677165354332</c:v>
                </c:pt>
                <c:pt idx="92">
                  <c:v>0.73020472440944895</c:v>
                </c:pt>
                <c:pt idx="93">
                  <c:v>0.7381417322834648</c:v>
                </c:pt>
                <c:pt idx="94">
                  <c:v>0.74607874015748032</c:v>
                </c:pt>
                <c:pt idx="95">
                  <c:v>0.75</c:v>
                </c:pt>
                <c:pt idx="96">
                  <c:v>0.75</c:v>
                </c:pt>
                <c:pt idx="97">
                  <c:v>0.75</c:v>
                </c:pt>
                <c:pt idx="98">
                  <c:v>0.75</c:v>
                </c:pt>
                <c:pt idx="99">
                  <c:v>0.75</c:v>
                </c:pt>
                <c:pt idx="100">
                  <c:v>0.75</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0.15269016246728445</c:v>
                </c:pt>
                <c:pt idx="18">
                  <c:v>0.15711688096991452</c:v>
                </c:pt>
                <c:pt idx="19">
                  <c:v>0.16142225019229184</c:v>
                </c:pt>
                <c:pt idx="20">
                  <c:v>0.16561573424216505</c:v>
                </c:pt>
                <c:pt idx="21">
                  <c:v>0.16970562748477142</c:v>
                </c:pt>
                <c:pt idx="22">
                  <c:v>0.17369924746937904</c:v>
                </c:pt>
                <c:pt idx="23">
                  <c:v>0.17760308877622921</c:v>
                </c:pt>
                <c:pt idx="24">
                  <c:v>0.18142294704442907</c:v>
                </c:pt>
                <c:pt idx="25">
                  <c:v>0.18516401995451032</c:v>
                </c:pt>
                <c:pt idx="26">
                  <c:v>0.18883099019266639</c:v>
                </c:pt>
                <c:pt idx="27">
                  <c:v>0.19242809417694559</c:v>
                </c:pt>
                <c:pt idx="28">
                  <c:v>0.2169028871391076</c:v>
                </c:pt>
                <c:pt idx="29">
                  <c:v>0.22464941882264716</c:v>
                </c:pt>
                <c:pt idx="30">
                  <c:v>0.23239595050618672</c:v>
                </c:pt>
                <c:pt idx="31">
                  <c:v>0.24014248218972628</c:v>
                </c:pt>
                <c:pt idx="32">
                  <c:v>0.24788901387326587</c:v>
                </c:pt>
                <c:pt idx="33">
                  <c:v>0.2556355455568054</c:v>
                </c:pt>
                <c:pt idx="34">
                  <c:v>0.26338207724034496</c:v>
                </c:pt>
                <c:pt idx="35">
                  <c:v>0.27112860892388446</c:v>
                </c:pt>
                <c:pt idx="36">
                  <c:v>0.27887514060742402</c:v>
                </c:pt>
                <c:pt idx="37">
                  <c:v>0.28662167229096358</c:v>
                </c:pt>
                <c:pt idx="38">
                  <c:v>0.29436820397450325</c:v>
                </c:pt>
                <c:pt idx="39">
                  <c:v>0.30211473565804281</c:v>
                </c:pt>
                <c:pt idx="40">
                  <c:v>0.30986126734158237</c:v>
                </c:pt>
                <c:pt idx="41">
                  <c:v>0.31760779902512182</c:v>
                </c:pt>
                <c:pt idx="42">
                  <c:v>0.32535433070866138</c:v>
                </c:pt>
                <c:pt idx="43">
                  <c:v>0.33310086239220094</c:v>
                </c:pt>
                <c:pt idx="44">
                  <c:v>0.34084739407574055</c:v>
                </c:pt>
                <c:pt idx="45">
                  <c:v>0.34859392575928011</c:v>
                </c:pt>
                <c:pt idx="46">
                  <c:v>0.35634045744281967</c:v>
                </c:pt>
                <c:pt idx="47">
                  <c:v>0.36408698912635917</c:v>
                </c:pt>
                <c:pt idx="48">
                  <c:v>0.37183352080989873</c:v>
                </c:pt>
                <c:pt idx="49">
                  <c:v>0.37958005249343829</c:v>
                </c:pt>
                <c:pt idx="50">
                  <c:v>0.38732658417697785</c:v>
                </c:pt>
                <c:pt idx="51">
                  <c:v>0.39507311586051741</c:v>
                </c:pt>
                <c:pt idx="52">
                  <c:v>0.40281964754405697</c:v>
                </c:pt>
                <c:pt idx="53">
                  <c:v>0.41056617922759653</c:v>
                </c:pt>
                <c:pt idx="54">
                  <c:v>0.41831271091113614</c:v>
                </c:pt>
                <c:pt idx="55">
                  <c:v>0.4260592425946757</c:v>
                </c:pt>
                <c:pt idx="56">
                  <c:v>0.43380577427821521</c:v>
                </c:pt>
                <c:pt idx="57">
                  <c:v>0.44155230596175465</c:v>
                </c:pt>
                <c:pt idx="58">
                  <c:v>0.44929883764529432</c:v>
                </c:pt>
                <c:pt idx="59">
                  <c:v>0.45704536932883377</c:v>
                </c:pt>
                <c:pt idx="60">
                  <c:v>0.46479190101237344</c:v>
                </c:pt>
                <c:pt idx="61">
                  <c:v>0.47253843269591295</c:v>
                </c:pt>
                <c:pt idx="62">
                  <c:v>0.48028496437945256</c:v>
                </c:pt>
                <c:pt idx="63">
                  <c:v>0.48803149606299207</c:v>
                </c:pt>
                <c:pt idx="64">
                  <c:v>0.49577802774653174</c:v>
                </c:pt>
                <c:pt idx="65">
                  <c:v>0.50352455943007113</c:v>
                </c:pt>
                <c:pt idx="66">
                  <c:v>0.5112710911136108</c:v>
                </c:pt>
                <c:pt idx="67">
                  <c:v>0.51901762279715036</c:v>
                </c:pt>
                <c:pt idx="68">
                  <c:v>0.52676415448068992</c:v>
                </c:pt>
                <c:pt idx="69">
                  <c:v>0.53451068616422948</c:v>
                </c:pt>
                <c:pt idx="70">
                  <c:v>0.54225721784776892</c:v>
                </c:pt>
                <c:pt idx="71">
                  <c:v>0.55000374953130859</c:v>
                </c:pt>
                <c:pt idx="72">
                  <c:v>0.55775028121484804</c:v>
                </c:pt>
                <c:pt idx="73">
                  <c:v>0.56549681289838771</c:v>
                </c:pt>
                <c:pt idx="74">
                  <c:v>0.57324334458192716</c:v>
                </c:pt>
                <c:pt idx="75">
                  <c:v>0.58098987626546683</c:v>
                </c:pt>
                <c:pt idx="76">
                  <c:v>0.5887364079490065</c:v>
                </c:pt>
                <c:pt idx="77">
                  <c:v>0.59648293963254595</c:v>
                </c:pt>
                <c:pt idx="78">
                  <c:v>0.60422947131608562</c:v>
                </c:pt>
                <c:pt idx="79">
                  <c:v>0.61197600299962507</c:v>
                </c:pt>
                <c:pt idx="80">
                  <c:v>0.61972253468316474</c:v>
                </c:pt>
                <c:pt idx="81">
                  <c:v>0.62746906636670419</c:v>
                </c:pt>
                <c:pt idx="82">
                  <c:v>0.63521559805024363</c:v>
                </c:pt>
                <c:pt idx="83">
                  <c:v>0.64296212973378331</c:v>
                </c:pt>
                <c:pt idx="84">
                  <c:v>0.65070866141732275</c:v>
                </c:pt>
                <c:pt idx="85">
                  <c:v>0.65845519310086242</c:v>
                </c:pt>
                <c:pt idx="86">
                  <c:v>0.66620172478440187</c:v>
                </c:pt>
                <c:pt idx="87">
                  <c:v>0.67394825646794154</c:v>
                </c:pt>
                <c:pt idx="88">
                  <c:v>0.6816947881514811</c:v>
                </c:pt>
                <c:pt idx="89">
                  <c:v>0.68944131983502066</c:v>
                </c:pt>
                <c:pt idx="90">
                  <c:v>0.69718785151856022</c:v>
                </c:pt>
                <c:pt idx="91">
                  <c:v>0.70493438320209989</c:v>
                </c:pt>
                <c:pt idx="92">
                  <c:v>0.71268091488563934</c:v>
                </c:pt>
                <c:pt idx="93">
                  <c:v>0.72042744656917901</c:v>
                </c:pt>
                <c:pt idx="94">
                  <c:v>0.72817397825271835</c:v>
                </c:pt>
                <c:pt idx="95">
                  <c:v>0.73592050993625791</c:v>
                </c:pt>
                <c:pt idx="96">
                  <c:v>0.74366704161979746</c:v>
                </c:pt>
                <c:pt idx="97">
                  <c:v>0.75</c:v>
                </c:pt>
                <c:pt idx="98">
                  <c:v>0.75</c:v>
                </c:pt>
                <c:pt idx="99">
                  <c:v>0.75</c:v>
                </c:pt>
                <c:pt idx="100">
                  <c:v>0.75</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20"/>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2" val="0"/>
</file>

<file path=xl/ctrlProps/ctrlProp4.xml><?xml version="1.0" encoding="utf-8"?>
<formControlPr xmlns="http://schemas.microsoft.com/office/spreadsheetml/2009/9/main" objectType="Drop" dropLines="2" dropStyle="combo" dx="22" fmlaLink="'Variable Mgmt'!$G$64" fmlaRange="'Variable Mgmt'!$F$62:$F$63" noThreeD="1" sel="2" val="0"/>
</file>

<file path=xl/ctrlProps/ctrlProp5.xml><?xml version="1.0" encoding="utf-8"?>
<formControlPr xmlns="http://schemas.microsoft.com/office/spreadsheetml/2009/9/main" objectType="Drop" dropLines="10" dropStyle="combo" dx="22" fmlaLink="'Variable Mgmt'!$S$45" fmlaRange="'Variable Mgmt'!$R$28:$R$43" noThreeD="1" sel="9" val="4"/>
</file>

<file path=xl/ctrlProps/ctrlProp6.xml><?xml version="1.0" encoding="utf-8"?>
<formControlPr xmlns="http://schemas.microsoft.com/office/spreadsheetml/2009/9/main" objectType="Drop" dropStyle="combo" dx="22" fmlaLink="'Variable Mgmt'!$G$58" fmlaRange="'Variable Mgmt'!$F$56:$F$57" noThreeD="1" sel="2"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2"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144780</xdr:colOff>
          <xdr:row>0</xdr:row>
          <xdr:rowOff>381000</xdr:rowOff>
        </xdr:from>
        <xdr:to>
          <xdr:col>24</xdr:col>
          <xdr:colOff>525780</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835"/>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836"/>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20µF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150µH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 </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20V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20V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0.1A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137160</xdr:colOff>
          <xdr:row>6</xdr:row>
          <xdr:rowOff>22860</xdr:rowOff>
        </xdr:from>
        <xdr:to>
          <xdr:col>5</xdr:col>
          <xdr:colOff>304800</xdr:colOff>
          <xdr:row>7</xdr:row>
          <xdr:rowOff>30480</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203.2kΩ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9V...21V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22860</xdr:colOff>
          <xdr:row>28</xdr:row>
          <xdr:rowOff>0</xdr:rowOff>
        </xdr:from>
        <xdr:to>
          <xdr:col>5</xdr:col>
          <xdr:colOff>289560</xdr:colOff>
          <xdr:row>29</xdr:row>
          <xdr:rowOff>30480</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 </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22860</xdr:colOff>
          <xdr:row>34</xdr:row>
          <xdr:rowOff>0</xdr:rowOff>
        </xdr:from>
        <xdr:to>
          <xdr:col>5</xdr:col>
          <xdr:colOff>259080</xdr:colOff>
          <xdr:row>34</xdr:row>
          <xdr:rowOff>213360</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 </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 </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 </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11</xdr:row>
          <xdr:rowOff>0</xdr:rowOff>
        </xdr:from>
        <xdr:to>
          <xdr:col>12</xdr:col>
          <xdr:colOff>68580</xdr:colOff>
          <xdr:row>12</xdr:row>
          <xdr:rowOff>22860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22860</xdr:rowOff>
        </xdr:from>
        <xdr:to>
          <xdr:col>5</xdr:col>
          <xdr:colOff>266700</xdr:colOff>
          <xdr:row>32</xdr:row>
          <xdr:rowOff>22860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90.4%</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837"/>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4</xdr:row>
          <xdr:rowOff>22860</xdr:rowOff>
        </xdr:from>
        <xdr:to>
          <xdr:col>5</xdr:col>
          <xdr:colOff>403860</xdr:colOff>
          <xdr:row>4</xdr:row>
          <xdr:rowOff>251460</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LM5181</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26V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83.1%</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90.4%</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90.4%</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89569"/>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90592"/>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893760" y="65171955"/>
          <a:ext cx="0" cy="433768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22860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22860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22860</xdr:rowOff>
        </xdr:from>
        <xdr:to>
          <xdr:col>6</xdr:col>
          <xdr:colOff>876300</xdr:colOff>
          <xdr:row>36</xdr:row>
          <xdr:rowOff>0</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22860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22860</xdr:rowOff>
        </xdr:from>
        <xdr:to>
          <xdr:col>6</xdr:col>
          <xdr:colOff>876300</xdr:colOff>
          <xdr:row>38</xdr:row>
          <xdr:rowOff>0</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22860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22860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22860</xdr:rowOff>
        </xdr:from>
        <xdr:to>
          <xdr:col>6</xdr:col>
          <xdr:colOff>876300</xdr:colOff>
          <xdr:row>42</xdr:row>
          <xdr:rowOff>0</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22860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22860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22860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22860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22860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437"/>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20µF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150µH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 </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20V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20V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0.1A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203.2kΩ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9V...21V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 </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 </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 </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 </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1</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899160</xdr:colOff>
          <xdr:row>32</xdr:row>
          <xdr:rowOff>22860</xdr:rowOff>
        </xdr:from>
        <xdr:to>
          <xdr:col>6</xdr:col>
          <xdr:colOff>868680</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22860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LM5181</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137160</xdr:rowOff>
        </xdr:from>
        <xdr:to>
          <xdr:col>1</xdr:col>
          <xdr:colOff>403860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182880</xdr:colOff>
          <xdr:row>111</xdr:row>
          <xdr:rowOff>144780</xdr:rowOff>
        </xdr:from>
        <xdr:to>
          <xdr:col>36</xdr:col>
          <xdr:colOff>22860</xdr:colOff>
          <xdr:row>125</xdr:row>
          <xdr:rowOff>144780</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83.1%</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zoomScale="55" zoomScaleNormal="55" zoomScaleSheetLayoutView="70" workbookViewId="0">
      <selection activeCell="E23" sqref="E23"/>
    </sheetView>
  </sheetViews>
  <sheetFormatPr defaultColWidth="9.33203125" defaultRowHeight="13.8" x14ac:dyDescent="0.3"/>
  <cols>
    <col min="1" max="1" width="8.33203125" style="86" customWidth="1"/>
    <col min="2" max="2" width="8.33203125" style="35" customWidth="1"/>
    <col min="3" max="3" width="13.5546875" style="35" customWidth="1"/>
    <col min="4" max="4" width="9.6640625" style="35" customWidth="1"/>
    <col min="5" max="5" width="9.33203125" style="35" customWidth="1"/>
    <col min="6" max="6" width="8.6640625" style="35" customWidth="1"/>
    <col min="7" max="7" width="2.6640625" style="35" customWidth="1"/>
    <col min="8" max="9" width="8.33203125" style="35" customWidth="1"/>
    <col min="10" max="10" width="13.6640625" style="35" customWidth="1"/>
    <col min="11" max="11" width="10" style="35" customWidth="1"/>
    <col min="12" max="12" width="9.44140625" style="35" customWidth="1"/>
    <col min="13" max="13" width="8.6640625" style="35" customWidth="1"/>
    <col min="14" max="15" width="9.33203125" style="35"/>
    <col min="16" max="18" width="10.33203125" style="35" customWidth="1"/>
    <col min="19" max="19" width="10" style="35" bestFit="1" customWidth="1"/>
    <col min="20" max="25" width="9.33203125" style="35"/>
    <col min="26" max="26" width="29" style="35" customWidth="1"/>
    <col min="27" max="27" width="3.33203125" style="35" customWidth="1"/>
    <col min="28" max="16384" width="9.33203125" style="35"/>
  </cols>
  <sheetData>
    <row r="1" spans="1:27" ht="47.25" customHeight="1" x14ac:dyDescent="0.3">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55000000000000004">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2" customHeight="1" x14ac:dyDescent="0.55000000000000004">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4">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4">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3">
      <c r="A6" s="119"/>
      <c r="B6" s="120"/>
      <c r="C6" s="121"/>
      <c r="D6" s="122" t="s">
        <v>370</v>
      </c>
      <c r="E6" s="123">
        <v>9</v>
      </c>
      <c r="F6" s="369" t="s">
        <v>0</v>
      </c>
      <c r="G6" s="71"/>
      <c r="H6" s="394"/>
      <c r="I6" s="441"/>
      <c r="J6" s="181"/>
      <c r="K6" s="442" t="s">
        <v>675</v>
      </c>
      <c r="L6" s="627">
        <f>Lmin</f>
        <v>50.800000000000011</v>
      </c>
      <c r="M6" s="548" t="s">
        <v>96</v>
      </c>
      <c r="N6" s="38"/>
      <c r="O6" s="38"/>
      <c r="P6" s="38"/>
      <c r="Q6" s="38"/>
      <c r="R6" s="58"/>
      <c r="S6" s="58"/>
      <c r="T6" s="58"/>
      <c r="U6" s="58"/>
      <c r="V6" s="58"/>
      <c r="W6" s="58"/>
      <c r="X6" s="58"/>
      <c r="Y6" s="58"/>
      <c r="Z6" s="439"/>
      <c r="AA6" s="349"/>
    </row>
    <row r="7" spans="1:27" ht="14.25" customHeight="1" x14ac:dyDescent="0.35">
      <c r="A7" s="113"/>
      <c r="B7" s="112"/>
      <c r="C7" s="114"/>
      <c r="D7" s="124" t="s">
        <v>371</v>
      </c>
      <c r="E7" s="125">
        <v>20</v>
      </c>
      <c r="F7" s="370" t="s">
        <v>0</v>
      </c>
      <c r="G7" s="71"/>
      <c r="H7" s="69"/>
      <c r="I7" s="70"/>
      <c r="J7" s="68"/>
      <c r="K7" s="79" t="s">
        <v>368</v>
      </c>
      <c r="L7" s="125">
        <v>150</v>
      </c>
      <c r="M7" s="370" t="s">
        <v>96</v>
      </c>
      <c r="N7" s="38"/>
      <c r="O7" s="38"/>
      <c r="P7" s="38"/>
      <c r="Q7" s="38"/>
      <c r="R7" s="58"/>
      <c r="S7" s="58"/>
      <c r="T7" s="58"/>
      <c r="U7" s="58"/>
      <c r="V7" s="58"/>
      <c r="W7" s="58"/>
      <c r="X7" s="58"/>
      <c r="Y7" s="58"/>
      <c r="Z7" s="439"/>
      <c r="AA7" s="349"/>
    </row>
    <row r="8" spans="1:27" ht="15.75" customHeight="1" x14ac:dyDescent="0.3">
      <c r="A8" s="113"/>
      <c r="B8" s="112"/>
      <c r="C8" s="114"/>
      <c r="D8" s="124" t="s">
        <v>372</v>
      </c>
      <c r="E8" s="125">
        <v>21</v>
      </c>
      <c r="F8" s="370" t="s">
        <v>0</v>
      </c>
      <c r="G8" s="71"/>
      <c r="H8" s="69"/>
      <c r="I8" s="70"/>
      <c r="J8" s="68"/>
      <c r="K8" s="79" t="s">
        <v>537</v>
      </c>
      <c r="L8" s="125">
        <v>800</v>
      </c>
      <c r="M8" s="370" t="s">
        <v>20</v>
      </c>
      <c r="N8" s="38"/>
      <c r="O8" s="38"/>
      <c r="P8" s="38"/>
      <c r="Q8" s="38"/>
      <c r="R8" s="58"/>
      <c r="S8" s="58"/>
      <c r="T8" s="58"/>
      <c r="U8" s="58"/>
      <c r="V8" s="58"/>
      <c r="W8" s="58"/>
      <c r="X8" s="58"/>
      <c r="Y8" s="58"/>
      <c r="Z8" s="439"/>
      <c r="AA8" s="349"/>
    </row>
    <row r="9" spans="1:27" ht="15.75" customHeight="1" x14ac:dyDescent="0.3">
      <c r="A9" s="113"/>
      <c r="B9" s="112"/>
      <c r="C9" s="114"/>
      <c r="D9" s="124" t="s">
        <v>369</v>
      </c>
      <c r="E9" s="506"/>
      <c r="F9" s="126"/>
      <c r="G9" s="71"/>
      <c r="H9" s="69"/>
      <c r="I9" s="70"/>
      <c r="J9" s="68"/>
      <c r="K9" s="79" t="str">
        <f>CHOOSE(MODE, "Secondary Winding DCR", "Secondary Winding #1 DCR")</f>
        <v>Secondary Winding DCR</v>
      </c>
      <c r="L9" s="125">
        <v>796</v>
      </c>
      <c r="M9" s="370" t="s">
        <v>20</v>
      </c>
      <c r="N9" s="38"/>
      <c r="O9" s="38"/>
      <c r="P9" s="38"/>
      <c r="Q9" s="38"/>
      <c r="R9" s="58"/>
      <c r="S9" s="58"/>
      <c r="T9" s="58"/>
      <c r="U9" s="58"/>
      <c r="V9" s="58"/>
      <c r="W9" s="58"/>
      <c r="X9" s="58"/>
      <c r="Y9" s="58"/>
      <c r="Z9" s="439"/>
      <c r="AA9" s="349"/>
    </row>
    <row r="10" spans="1:27" ht="15.75" customHeight="1" x14ac:dyDescent="0.3">
      <c r="A10" s="113"/>
      <c r="B10" s="112"/>
      <c r="C10" s="114"/>
      <c r="D10" s="124" t="str">
        <f>CHOOSE(MODE, "Output Voltage, VOUT ", "Output Voltage, VOUT1")</f>
        <v xml:space="preserve">Output Voltage, VOUT </v>
      </c>
      <c r="E10" s="125">
        <v>20</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35">
      <c r="A11" s="116"/>
      <c r="B11" s="132"/>
      <c r="C11" s="440"/>
      <c r="D11" s="444" t="str">
        <f>CHOOSE(MODE, "Rated Output Current, IOUT ", "Rated Output Current, IOUT1")</f>
        <v xml:space="preserve">Rated Output Current, IOUT </v>
      </c>
      <c r="E11" s="445">
        <v>0.1</v>
      </c>
      <c r="F11" s="446" t="s">
        <v>1</v>
      </c>
      <c r="G11" s="71"/>
      <c r="H11" s="69"/>
      <c r="I11" s="58"/>
      <c r="J11" s="58"/>
      <c r="K11" s="79" t="s">
        <v>679</v>
      </c>
      <c r="L11" s="125">
        <v>3000</v>
      </c>
      <c r="M11" s="370" t="s">
        <v>678</v>
      </c>
      <c r="N11" s="38"/>
      <c r="O11" s="38"/>
      <c r="P11" s="38"/>
      <c r="Q11" s="38"/>
      <c r="R11" s="58"/>
      <c r="S11" s="58"/>
      <c r="T11" s="58"/>
      <c r="U11" s="58"/>
      <c r="V11" s="58"/>
      <c r="W11" s="58"/>
      <c r="X11" s="58"/>
      <c r="Y11" s="58"/>
      <c r="Z11" s="439"/>
      <c r="AA11" s="349"/>
    </row>
    <row r="12" spans="1:27" ht="15.75" customHeight="1" x14ac:dyDescent="0.3">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3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41</v>
      </c>
      <c r="M13" s="82" t="str">
        <f>CHOOSE(MODE, "V", "")</f>
        <v>V</v>
      </c>
      <c r="N13" s="38"/>
      <c r="O13" s="38"/>
      <c r="P13" s="38"/>
      <c r="Q13" s="38"/>
      <c r="R13" s="58"/>
      <c r="S13" s="58"/>
      <c r="T13" s="58"/>
      <c r="U13" s="58"/>
      <c r="V13" s="58"/>
      <c r="W13" s="58"/>
      <c r="X13" s="58"/>
      <c r="Y13" s="58"/>
      <c r="Z13" s="439"/>
      <c r="AA13" s="349"/>
    </row>
    <row r="14" spans="1:27" ht="15.75" customHeight="1" x14ac:dyDescent="0.3">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3">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0.10550841200545705</v>
      </c>
      <c r="M15" s="550" t="str">
        <f>CHOOSE(MODE, "A", "W")</f>
        <v>A</v>
      </c>
      <c r="N15" s="38"/>
      <c r="O15" s="38"/>
      <c r="P15" s="38"/>
      <c r="Q15" s="38"/>
      <c r="R15" s="58"/>
      <c r="S15" s="58"/>
      <c r="T15" s="58"/>
      <c r="U15" s="58"/>
      <c r="V15" s="58"/>
      <c r="W15" s="58"/>
      <c r="X15" s="58"/>
      <c r="Y15" s="58"/>
      <c r="Z15" s="439"/>
      <c r="AA15" s="349"/>
    </row>
    <row r="16" spans="1:27" ht="16.5" customHeight="1" thickBot="1" x14ac:dyDescent="0.4">
      <c r="A16" s="85" t="s">
        <v>297</v>
      </c>
      <c r="B16" s="73"/>
      <c r="C16" s="74"/>
      <c r="D16" s="74"/>
      <c r="E16" s="75"/>
      <c r="F16" s="74"/>
      <c r="G16" s="71"/>
      <c r="H16" s="625"/>
      <c r="I16" s="38"/>
      <c r="J16" s="38"/>
      <c r="K16" s="182" t="s">
        <v>673</v>
      </c>
      <c r="L16" s="635">
        <f>Don_Vinmin*100</f>
        <v>69.387755102040813</v>
      </c>
      <c r="M16" s="550" t="s">
        <v>674</v>
      </c>
      <c r="N16" s="38"/>
      <c r="O16" s="38"/>
      <c r="P16" s="38"/>
      <c r="Q16" s="38"/>
      <c r="R16" s="58"/>
      <c r="S16" s="58"/>
      <c r="T16" s="58"/>
      <c r="U16" s="58"/>
      <c r="V16" s="58"/>
      <c r="W16" s="58"/>
      <c r="X16" s="58"/>
      <c r="Y16" s="58"/>
      <c r="Z16" s="439"/>
      <c r="AA16" s="349"/>
    </row>
    <row r="17" spans="1:27" ht="15.75" customHeight="1" x14ac:dyDescent="0.3">
      <c r="A17" s="329"/>
      <c r="B17" s="501"/>
      <c r="C17" s="443"/>
      <c r="D17" s="181" t="s">
        <v>315</v>
      </c>
      <c r="E17" s="529">
        <f>'Variable Mgmt'!B127</f>
        <v>2.2000000000000002</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35">
      <c r="A18" s="76"/>
      <c r="B18" s="70"/>
      <c r="C18" s="74"/>
      <c r="D18" s="79" t="s">
        <v>141</v>
      </c>
      <c r="E18" s="77">
        <v>10</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3">
      <c r="A19" s="76"/>
      <c r="B19" s="70"/>
      <c r="C19" s="129"/>
      <c r="D19" s="124" t="s">
        <v>104</v>
      </c>
      <c r="E19" s="125">
        <v>3</v>
      </c>
      <c r="F19" s="370" t="s">
        <v>20</v>
      </c>
      <c r="G19" s="71"/>
      <c r="H19" s="70"/>
      <c r="I19" s="38"/>
      <c r="J19" s="38"/>
      <c r="K19" s="630" t="s">
        <v>809</v>
      </c>
      <c r="L19" s="631">
        <f>'Calculations - Single'!U105</f>
        <v>0.44094488188976377</v>
      </c>
      <c r="M19" s="70" t="s">
        <v>1</v>
      </c>
      <c r="N19" s="38"/>
      <c r="O19" s="38"/>
      <c r="P19" s="38"/>
      <c r="Q19" s="38"/>
      <c r="R19" s="58"/>
      <c r="S19" s="58"/>
      <c r="T19" s="58"/>
      <c r="U19" s="58"/>
      <c r="V19" s="58"/>
      <c r="W19" s="58"/>
      <c r="X19" s="58"/>
      <c r="Y19" s="58"/>
      <c r="Z19" s="439"/>
      <c r="AA19" s="349"/>
    </row>
    <row r="20" spans="1:27" ht="15.75" customHeight="1" thickBot="1" x14ac:dyDescent="0.4">
      <c r="A20" s="80"/>
      <c r="B20" s="81"/>
      <c r="C20" s="87"/>
      <c r="D20" s="182" t="s">
        <v>506</v>
      </c>
      <c r="E20" s="183">
        <f>Vinripple2</f>
        <v>36.500072333477981</v>
      </c>
      <c r="F20" s="84" t="s">
        <v>103</v>
      </c>
      <c r="G20" s="71"/>
      <c r="H20" s="70"/>
      <c r="I20" s="38"/>
      <c r="J20" s="38"/>
      <c r="K20" s="632" t="s">
        <v>810</v>
      </c>
      <c r="L20" s="633">
        <f>Nps*L19</f>
        <v>0.44094488188976377</v>
      </c>
      <c r="M20" s="83" t="s">
        <v>1</v>
      </c>
      <c r="N20" s="38"/>
      <c r="O20" s="38"/>
      <c r="P20" s="38"/>
      <c r="Q20" s="38"/>
      <c r="R20" s="58"/>
      <c r="S20" s="58"/>
      <c r="T20" s="58"/>
      <c r="U20" s="58"/>
      <c r="V20" s="58"/>
      <c r="W20" s="58"/>
      <c r="X20" s="58"/>
      <c r="Y20" s="58"/>
      <c r="Z20" s="439"/>
      <c r="AA20" s="349"/>
    </row>
    <row r="21" spans="1:27" ht="15.75" customHeight="1" thickBot="1" x14ac:dyDescent="0.35">
      <c r="A21" s="364"/>
      <c r="B21" s="365"/>
      <c r="C21" s="366"/>
      <c r="D21" s="366" t="str">
        <f>CHOOSE(MODE, "Minimum Output Capacitance", "Minimum Output Capacitance, Output #1")</f>
        <v>Minimum Output Capacitance</v>
      </c>
      <c r="E21" s="629">
        <f>'Variable Mgmt'!B102</f>
        <v>7.5578700647486725</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3">
      <c r="A22" s="69"/>
      <c r="B22" s="70"/>
      <c r="C22" s="114"/>
      <c r="D22" s="130" t="s">
        <v>140</v>
      </c>
      <c r="E22" s="125">
        <v>20</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3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4">
      <c r="A24" s="80"/>
      <c r="B24" s="83"/>
      <c r="C24" s="83"/>
      <c r="D24" s="182" t="str">
        <f>CHOOSE(MODE, "Resulting Output Voltage Ripple", "Resulting Output Voltage Ripple, Output #1")</f>
        <v>Resulting Output Voltage Ripple</v>
      </c>
      <c r="E24" s="183">
        <f>Vripple1_actual</f>
        <v>17.536920000000002</v>
      </c>
      <c r="F24" s="84" t="s">
        <v>103</v>
      </c>
      <c r="G24" s="510"/>
      <c r="H24" s="83"/>
      <c r="I24" s="437"/>
      <c r="J24" s="436"/>
      <c r="K24" s="182" t="str">
        <f>CHOOSE(MODE, "", "Resulting Output Voltage Ripple, Output #2")</f>
        <v/>
      </c>
      <c r="L24" s="183">
        <f>Vripple2_actual</f>
        <v>12.834844328961385</v>
      </c>
      <c r="M24" s="84" t="s">
        <v>103</v>
      </c>
      <c r="N24" s="38"/>
      <c r="O24" s="38"/>
      <c r="P24" s="38"/>
      <c r="Q24" s="38"/>
      <c r="R24" s="58"/>
      <c r="S24" s="58"/>
      <c r="T24" s="58"/>
      <c r="U24" s="58"/>
      <c r="V24" s="58"/>
      <c r="W24" s="58"/>
      <c r="X24" s="58"/>
      <c r="Y24" s="58"/>
      <c r="Z24" s="439"/>
      <c r="AA24" s="349"/>
    </row>
    <row r="25" spans="1:27" ht="13.5" customHeight="1" x14ac:dyDescent="0.3">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3">
      <c r="A27" s="119"/>
      <c r="B27" s="120"/>
      <c r="C27" s="181"/>
      <c r="D27" s="181" t="s">
        <v>374</v>
      </c>
      <c r="E27" s="503">
        <f>Rfb_recommend</f>
        <v>203.2</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35">
      <c r="A28" s="113"/>
      <c r="B28" s="112"/>
      <c r="C28" s="114"/>
      <c r="D28" s="130" t="s">
        <v>373</v>
      </c>
      <c r="E28" s="131">
        <v>203.2</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3">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3">
      <c r="A30" s="113"/>
      <c r="B30" s="112"/>
      <c r="C30" s="112"/>
      <c r="D30" s="128" t="str">
        <f>CHOOSE(MODE_SS,"Soft-Start Time","*Leave SS Pin Open or Supply by Ext. Bias")</f>
        <v>*Leave SS Pin Open or Supply by Ext. Bias</v>
      </c>
      <c r="E30" s="125">
        <v>20</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4">
      <c r="A31" s="116"/>
      <c r="B31" s="117"/>
      <c r="C31" s="117"/>
      <c r="D31" s="318" t="s">
        <v>142</v>
      </c>
      <c r="E31" s="332">
        <f>IF(Tss&gt;0.0001,Css_u*1000000000,"N/A")</f>
        <v>100</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3">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3">
      <c r="A33" s="113"/>
      <c r="B33" s="112"/>
      <c r="C33" s="112"/>
      <c r="D33" s="67" t="str">
        <f>CHOOSE(TC,"Diode Voltage Drop Thermal Coefficient","*Leave TC Pin Open")</f>
        <v>*Leave TC Pin Open</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35">
      <c r="A34" s="116"/>
      <c r="B34" s="132"/>
      <c r="C34" s="132"/>
      <c r="D34" s="440" t="s">
        <v>388</v>
      </c>
      <c r="E34" s="457">
        <f>RTC</f>
        <v>402</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3">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3">
      <c r="A36" s="113"/>
      <c r="B36" s="112"/>
      <c r="C36" s="129"/>
      <c r="D36" s="130" t="str">
        <f>CHOOSE(MODE_UVLO, "Input UVLO Turn-On Threshold", "*Connect EN pin to VIN or Logic HIGH")</f>
        <v>*Connect EN pin to VIN or Logic HIGH</v>
      </c>
      <c r="E36" s="131">
        <v>8</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35">
      <c r="A37" s="116"/>
      <c r="B37" s="132"/>
      <c r="C37" s="132"/>
      <c r="D37" s="374" t="str">
        <f>CHOOSE(MODE_UVLO, "Input UVLO Turn-Off Threshold", "")</f>
        <v/>
      </c>
      <c r="E37" s="375">
        <v>7.5</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3">
      <c r="A38" s="394"/>
      <c r="B38" s="112"/>
      <c r="C38" s="129"/>
      <c r="D38" s="114" t="s">
        <v>378</v>
      </c>
      <c r="E38" s="498">
        <f>'Variable Mgmt'!F157</f>
        <v>46.400000000000006</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35">
      <c r="A39" s="116"/>
      <c r="B39" s="132"/>
      <c r="C39" s="132"/>
      <c r="D39" s="440" t="s">
        <v>293</v>
      </c>
      <c r="E39" s="440">
        <f>'Variable Mgmt'!F158</f>
        <v>10.700000000000001</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3">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3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3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3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3">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3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5">
      <c r="A46" s="69"/>
      <c r="B46" s="70"/>
      <c r="C46" s="70"/>
      <c r="D46" s="68" t="s">
        <v>798</v>
      </c>
      <c r="E46" s="316">
        <f>CHOOSE(MODE, 'Calculations - Single'!BP105, 'Calculations - Dual'!BO105)</f>
        <v>46.718081886845894</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4">
      <c r="A47" s="80"/>
      <c r="B47" s="81"/>
      <c r="C47" s="81"/>
      <c r="D47" s="318" t="s">
        <v>799</v>
      </c>
      <c r="E47" s="447">
        <f>E45+E46/1000*ThetaJA</f>
        <v>56.915441357360685</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3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3">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3">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3">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3">
      <c r="A52" s="658"/>
      <c r="B52" s="70"/>
      <c r="C52" s="70"/>
      <c r="D52" s="68" t="s">
        <v>853</v>
      </c>
      <c r="E52" s="316">
        <f>(VIN_max/Npri_sec1+E10)*1.5</f>
        <v>61.5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3">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3">
      <c r="A54" s="650"/>
      <c r="B54" s="651"/>
      <c r="C54" s="651"/>
      <c r="D54" s="669" t="s">
        <v>854</v>
      </c>
      <c r="E54" s="670">
        <f>E52*E52*E51*0.000000000001*350000*4</f>
        <v>0.11649330000000001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3">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3">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3">
      <c r="A57" s="654"/>
      <c r="B57" s="655"/>
      <c r="C57" s="655"/>
      <c r="D57" s="656" t="str">
        <f>CHOOSE(MODE, "Min Load Current, IOUTmin ", "Min Load Current, IOUT1min")</f>
        <v xml:space="preserve">Min Load Current, IOUTmin </v>
      </c>
      <c r="E57" s="673">
        <v>5.0000000000000001E-3</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3">
      <c r="A58" s="658"/>
      <c r="B58" s="70"/>
      <c r="C58" s="70"/>
      <c r="D58" s="67" t="str">
        <f>CHOOSE(MODE,"Max Output Voltage Limit, VOUTmax","Max Output Voltage Limit, VOUT1max")</f>
        <v>Max Output Voltage Limit, VOUTmax</v>
      </c>
      <c r="E58" s="674">
        <v>22</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3">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3">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3">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3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3">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3">
      <c r="A64" s="35"/>
      <c r="R64" s="18"/>
      <c r="S64" s="18"/>
      <c r="T64" s="18"/>
      <c r="W64" s="18"/>
      <c r="X64" s="18"/>
      <c r="Y64" s="18"/>
      <c r="AB64" s="18"/>
      <c r="AC64" s="18"/>
      <c r="AD64" s="18"/>
      <c r="AG64" s="18"/>
      <c r="AH64" s="18"/>
      <c r="AI64" s="18"/>
    </row>
    <row r="65" spans="18:35" x14ac:dyDescent="0.3">
      <c r="R65" s="18"/>
      <c r="S65" s="18"/>
      <c r="T65" s="18"/>
      <c r="W65" s="18"/>
      <c r="X65" s="18"/>
      <c r="Y65" s="18"/>
      <c r="AB65" s="18"/>
      <c r="AC65" s="18"/>
      <c r="AD65" s="18"/>
      <c r="AG65" s="18"/>
      <c r="AH65" s="18"/>
      <c r="AI65" s="18"/>
    </row>
    <row r="66" spans="18:35" x14ac:dyDescent="0.3">
      <c r="R66" s="18"/>
      <c r="S66" s="18"/>
      <c r="T66" s="18"/>
      <c r="W66" s="18"/>
      <c r="X66" s="18"/>
      <c r="Y66" s="18"/>
      <c r="AB66" s="18"/>
      <c r="AC66" s="18"/>
      <c r="AD66" s="18"/>
      <c r="AG66" s="18"/>
      <c r="AH66" s="18"/>
      <c r="AI66" s="18"/>
    </row>
    <row r="67" spans="18:35" x14ac:dyDescent="0.3">
      <c r="R67" s="18"/>
      <c r="S67" s="18"/>
      <c r="T67" s="18"/>
      <c r="W67" s="18"/>
      <c r="X67" s="18"/>
      <c r="Y67" s="18"/>
      <c r="AB67" s="18"/>
      <c r="AC67" s="18"/>
      <c r="AD67" s="18"/>
      <c r="AG67" s="18"/>
      <c r="AH67" s="18"/>
      <c r="AI67" s="18"/>
    </row>
    <row r="68" spans="18:35" x14ac:dyDescent="0.3">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144780</xdr:colOff>
                    <xdr:row>0</xdr:row>
                    <xdr:rowOff>381000</xdr:rowOff>
                  </from>
                  <to>
                    <xdr:col>24</xdr:col>
                    <xdr:colOff>525780</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137160</xdr:colOff>
                    <xdr:row>6</xdr:row>
                    <xdr:rowOff>22860</xdr:rowOff>
                  </from>
                  <to>
                    <xdr:col>5</xdr:col>
                    <xdr:colOff>304800</xdr:colOff>
                    <xdr:row>7</xdr:row>
                    <xdr:rowOff>30480</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22860</xdr:colOff>
                    <xdr:row>28</xdr:row>
                    <xdr:rowOff>0</xdr:rowOff>
                  </from>
                  <to>
                    <xdr:col>5</xdr:col>
                    <xdr:colOff>289560</xdr:colOff>
                    <xdr:row>29</xdr:row>
                    <xdr:rowOff>30480</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22860</xdr:colOff>
                    <xdr:row>34</xdr:row>
                    <xdr:rowOff>0</xdr:rowOff>
                  </from>
                  <to>
                    <xdr:col>5</xdr:col>
                    <xdr:colOff>259080</xdr:colOff>
                    <xdr:row>34</xdr:row>
                    <xdr:rowOff>213360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22860</xdr:colOff>
                    <xdr:row>11</xdr:row>
                    <xdr:rowOff>0</xdr:rowOff>
                  </from>
                  <to>
                    <xdr:col>12</xdr:col>
                    <xdr:colOff>68580</xdr:colOff>
                    <xdr:row>12</xdr:row>
                    <xdr:rowOff>22860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22860</xdr:rowOff>
                  </from>
                  <to>
                    <xdr:col>5</xdr:col>
                    <xdr:colOff>266700</xdr:colOff>
                    <xdr:row>32</xdr:row>
                    <xdr:rowOff>22860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30480</xdr:colOff>
                    <xdr:row>4</xdr:row>
                    <xdr:rowOff>22860</xdr:rowOff>
                  </from>
                  <to>
                    <xdr:col>5</xdr:col>
                    <xdr:colOff>403860</xdr:colOff>
                    <xdr:row>4</xdr:row>
                    <xdr:rowOff>251460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3.2" x14ac:dyDescent="0.25"/>
  <cols>
    <col min="2" max="2" width="126.44140625" customWidth="1"/>
  </cols>
  <sheetData>
    <row r="2" spans="1:2" ht="17.25" customHeight="1" x14ac:dyDescent="0.25">
      <c r="A2" s="59" t="str">
        <f>CHOOSE(MODE, "EFF_SINGLE", "EFF_DUAL")</f>
        <v>EFF_SINGLE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3.2" x14ac:dyDescent="0.25"/>
  <cols>
    <col min="2" max="2" width="126.44140625" customWidth="1"/>
  </cols>
  <sheetData>
    <row r="2" spans="1:2" ht="17.25" customHeight="1" x14ac:dyDescent="0.25">
      <c r="A2" s="59" t="str">
        <f>CHOOSE(MODE, "Fsw_SINGLE", "Fsw_DUAL")</f>
        <v>Fsw_SINGLE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3.2" x14ac:dyDescent="0.25"/>
  <cols>
    <col min="1" max="1" width="12.6640625" style="312" customWidth="1"/>
    <col min="2" max="2" width="124.6640625" customWidth="1"/>
    <col min="3" max="4" width="9.33203125" style="312"/>
    <col min="5" max="5" width="124.6640625" customWidth="1"/>
    <col min="8" max="8" width="124.6640625" style="312" customWidth="1"/>
  </cols>
  <sheetData>
    <row r="2" spans="1:6" x14ac:dyDescent="0.25">
      <c r="A2" s="312" t="str">
        <f>'Variable Mgmt'!K52</f>
        <v>SCH_SINGLE_UVLOint_SSint_TCno</v>
      </c>
    </row>
    <row r="5" spans="1:6" s="312" customFormat="1" ht="13.5" customHeight="1" x14ac:dyDescent="0.25"/>
    <row r="6" spans="1:6" s="312" customFormat="1" ht="16.5" customHeight="1" x14ac:dyDescent="0.25"/>
    <row r="7" spans="1:6" ht="357" customHeight="1" x14ac:dyDescent="0.25">
      <c r="E7" s="331"/>
    </row>
    <row r="8" spans="1:6" s="312" customFormat="1" ht="17.25" customHeight="1" x14ac:dyDescent="0.25"/>
    <row r="9" spans="1:6" ht="357" customHeight="1" x14ac:dyDescent="0.25">
      <c r="B9" s="59"/>
      <c r="E9" s="331"/>
      <c r="F9" s="312"/>
    </row>
    <row r="10" spans="1:6" s="312" customFormat="1" x14ac:dyDescent="0.25"/>
    <row r="11" spans="1:6" ht="357" customHeight="1" x14ac:dyDescent="0.25">
      <c r="B11" s="331"/>
      <c r="E11" s="312"/>
      <c r="F11" s="312"/>
    </row>
    <row r="12" spans="1:6" x14ac:dyDescent="0.25">
      <c r="B12" s="312"/>
      <c r="E12" s="312"/>
      <c r="F12" s="312"/>
    </row>
    <row r="13" spans="1:6" ht="357" customHeight="1" x14ac:dyDescent="0.25">
      <c r="B13" s="331"/>
      <c r="E13" s="312"/>
      <c r="F13" s="312"/>
    </row>
    <row r="14" spans="1:6" x14ac:dyDescent="0.25">
      <c r="B14" s="312"/>
      <c r="E14" s="312"/>
      <c r="F14" s="312"/>
    </row>
    <row r="15" spans="1:6" ht="357" customHeight="1" x14ac:dyDescent="0.25">
      <c r="E15" s="312"/>
      <c r="F15" s="312"/>
    </row>
    <row r="16" spans="1:6" x14ac:dyDescent="0.25">
      <c r="B16" s="312"/>
      <c r="E16" s="312"/>
    </row>
    <row r="17" spans="2:6" ht="357" customHeight="1" x14ac:dyDescent="0.25">
      <c r="B17" s="331"/>
      <c r="E17" s="312"/>
      <c r="F17" s="312"/>
    </row>
    <row r="18" spans="2:6" ht="12" customHeight="1" x14ac:dyDescent="0.25">
      <c r="B18" s="312"/>
      <c r="E18" s="312"/>
    </row>
    <row r="19" spans="2:6" ht="357" customHeight="1" x14ac:dyDescent="0.25">
      <c r="B19" s="312"/>
      <c r="E19" s="312"/>
    </row>
    <row r="20" spans="2:6" ht="13.5" customHeight="1" x14ac:dyDescent="0.25">
      <c r="B20" s="312"/>
      <c r="E20" s="312"/>
    </row>
    <row r="21" spans="2:6" ht="357" customHeight="1" x14ac:dyDescent="0.25">
      <c r="B21" s="312"/>
      <c r="E21" s="312"/>
    </row>
    <row r="22" spans="2:6" x14ac:dyDescent="0.25">
      <c r="B22" s="312"/>
      <c r="E22" s="312"/>
    </row>
    <row r="23" spans="2:6" ht="357" customHeight="1" x14ac:dyDescent="0.25">
      <c r="B23" s="312"/>
      <c r="E23" s="312"/>
    </row>
    <row r="24" spans="2:6" x14ac:dyDescent="0.25">
      <c r="B24" s="312"/>
      <c r="E24" s="312"/>
    </row>
    <row r="25" spans="2:6" ht="327.75" customHeight="1" x14ac:dyDescent="0.25">
      <c r="B25" s="312"/>
      <c r="E25" s="312"/>
    </row>
    <row r="26" spans="2:6" x14ac:dyDescent="0.25">
      <c r="E26" s="312"/>
    </row>
    <row r="27" spans="2:6" ht="327.60000000000002" customHeight="1" x14ac:dyDescent="0.25">
      <c r="B27" s="312"/>
      <c r="E27" s="312"/>
    </row>
    <row r="28" spans="2:6" x14ac:dyDescent="0.25">
      <c r="B28" s="312"/>
      <c r="E28" s="312"/>
    </row>
    <row r="29" spans="2:6" ht="327.75" customHeight="1" x14ac:dyDescent="0.25">
      <c r="B29" s="312"/>
      <c r="E29" s="312"/>
    </row>
    <row r="30" spans="2:6" ht="13.5" customHeight="1" x14ac:dyDescent="0.25">
      <c r="B30" s="312"/>
      <c r="E30" s="312"/>
    </row>
    <row r="31" spans="2:6" ht="327.75" customHeight="1" x14ac:dyDescent="0.25">
      <c r="B31" s="312"/>
      <c r="E31" s="312"/>
    </row>
    <row r="32" spans="2:6" ht="13.5" customHeight="1" x14ac:dyDescent="0.25">
      <c r="B32" s="312"/>
      <c r="E32" s="312"/>
    </row>
    <row r="33" spans="2:20" ht="327.75" customHeight="1" x14ac:dyDescent="0.25">
      <c r="B33" s="312"/>
      <c r="E33" s="312"/>
    </row>
    <row r="34" spans="2:20" ht="13.5" customHeight="1" x14ac:dyDescent="0.25">
      <c r="B34" s="312"/>
      <c r="E34" s="312"/>
    </row>
    <row r="35" spans="2:20" ht="327.60000000000002" customHeight="1" x14ac:dyDescent="0.25">
      <c r="B35" s="312"/>
      <c r="E35" s="312"/>
    </row>
    <row r="36" spans="2:20" ht="13.5" customHeight="1" x14ac:dyDescent="0.25">
      <c r="B36" s="312"/>
      <c r="E36" s="312"/>
    </row>
    <row r="37" spans="2:20" ht="327.75" customHeight="1" x14ac:dyDescent="0.25">
      <c r="B37" s="312"/>
      <c r="E37" s="312"/>
    </row>
    <row r="38" spans="2:20" ht="13.5" customHeight="1" x14ac:dyDescent="0.4">
      <c r="B38" s="312"/>
      <c r="E38" s="312"/>
      <c r="G38" s="313"/>
    </row>
    <row r="39" spans="2:20" ht="327.75" customHeight="1" x14ac:dyDescent="0.25">
      <c r="B39" s="312"/>
      <c r="E39" s="312"/>
    </row>
    <row r="40" spans="2:20" x14ac:dyDescent="0.25">
      <c r="B40" s="312"/>
      <c r="E40" s="312"/>
      <c r="Q40" s="9"/>
      <c r="S40" s="9"/>
      <c r="T40" s="9"/>
    </row>
    <row r="41" spans="2:20" ht="327.75" customHeight="1" x14ac:dyDescent="0.25">
      <c r="B41" s="312"/>
      <c r="E41" s="312"/>
      <c r="Q41" s="9"/>
      <c r="S41" s="9"/>
    </row>
    <row r="42" spans="2:20" x14ac:dyDescent="0.25">
      <c r="B42" s="312"/>
      <c r="E42" s="312"/>
      <c r="Q42" s="9"/>
      <c r="S42" s="9"/>
    </row>
    <row r="43" spans="2:20" ht="327.75" customHeight="1" x14ac:dyDescent="0.25">
      <c r="B43" s="312"/>
      <c r="E43" s="312"/>
      <c r="Q43" s="9"/>
      <c r="S43" s="9"/>
    </row>
    <row r="44" spans="2:20" x14ac:dyDescent="0.25">
      <c r="B44" s="312"/>
      <c r="E44" s="312"/>
      <c r="Q44" s="9"/>
      <c r="S44" s="9"/>
    </row>
    <row r="45" spans="2:20" ht="327.75" customHeight="1" x14ac:dyDescent="0.25">
      <c r="B45" s="312"/>
      <c r="E45" s="312"/>
      <c r="Q45" s="9"/>
      <c r="S45" s="9"/>
    </row>
    <row r="46" spans="2:20" x14ac:dyDescent="0.25">
      <c r="B46" s="312"/>
      <c r="E46" s="312"/>
      <c r="Q46" s="9"/>
      <c r="S46" s="9"/>
    </row>
    <row r="47" spans="2:20" ht="327.75" customHeight="1" x14ac:dyDescent="0.25">
      <c r="B47" s="312"/>
      <c r="E47" s="312"/>
      <c r="Q47" s="9"/>
      <c r="S47" s="314"/>
    </row>
    <row r="48" spans="2:20" x14ac:dyDescent="0.25">
      <c r="B48" s="312"/>
      <c r="E48" s="312"/>
      <c r="Q48" s="9"/>
      <c r="S48" s="9"/>
    </row>
    <row r="49" spans="2:19" ht="327.75" customHeight="1" x14ac:dyDescent="0.25">
      <c r="B49" s="312"/>
      <c r="E49" s="312"/>
      <c r="Q49" s="9"/>
      <c r="S49" s="9"/>
    </row>
    <row r="50" spans="2:19" x14ac:dyDescent="0.25">
      <c r="B50" s="312"/>
      <c r="E50" s="312"/>
      <c r="Q50" s="9"/>
      <c r="S50" s="9"/>
    </row>
    <row r="51" spans="2:19" x14ac:dyDescent="0.25">
      <c r="B51" s="312"/>
      <c r="E51" s="312"/>
      <c r="Q51" s="9"/>
      <c r="S51" s="9"/>
    </row>
    <row r="52" spans="2:19" x14ac:dyDescent="0.25">
      <c r="B52" s="312"/>
      <c r="E52" s="312"/>
      <c r="Q52" s="9"/>
      <c r="S52" s="9"/>
    </row>
    <row r="53" spans="2:19" x14ac:dyDescent="0.25">
      <c r="B53" s="312"/>
      <c r="E53" s="312"/>
    </row>
    <row r="54" spans="2:19" x14ac:dyDescent="0.25">
      <c r="B54" s="312"/>
      <c r="E54" s="312"/>
    </row>
    <row r="55" spans="2:19" x14ac:dyDescent="0.25">
      <c r="B55" s="312"/>
      <c r="E55" s="312"/>
      <c r="R55" s="3"/>
    </row>
    <row r="56" spans="2:19" x14ac:dyDescent="0.25">
      <c r="B56" s="312"/>
      <c r="E56" s="312"/>
    </row>
    <row r="57" spans="2:19" x14ac:dyDescent="0.25">
      <c r="B57" s="312"/>
      <c r="E57" s="312"/>
    </row>
    <row r="66" spans="18:18" x14ac:dyDescent="0.25">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3.2" x14ac:dyDescent="0.25"/>
  <cols>
    <col min="1" max="1" width="17.33203125" customWidth="1"/>
    <col min="2" max="2" width="12" bestFit="1" customWidth="1"/>
    <col min="8" max="8" width="12.33203125" customWidth="1"/>
    <col min="9" max="9" width="12.44140625" bestFit="1" customWidth="1"/>
    <col min="10" max="10" width="15.44140625" customWidth="1"/>
  </cols>
  <sheetData>
    <row r="2" spans="1:11" x14ac:dyDescent="0.25">
      <c r="A2" t="s">
        <v>68</v>
      </c>
      <c r="B2" t="s">
        <v>66</v>
      </c>
      <c r="C2" t="s">
        <v>14</v>
      </c>
      <c r="D2" t="s">
        <v>28</v>
      </c>
      <c r="E2" t="s">
        <v>75</v>
      </c>
    </row>
    <row r="3" spans="1:11" x14ac:dyDescent="0.25">
      <c r="A3" t="s">
        <v>71</v>
      </c>
      <c r="B3">
        <f>Css</f>
        <v>1.0000000000000001E-7</v>
      </c>
      <c r="C3">
        <f>Cout</f>
        <v>20</v>
      </c>
      <c r="D3">
        <f>Cin</f>
        <v>10</v>
      </c>
      <c r="E3">
        <f>Cb</f>
        <v>0</v>
      </c>
      <c r="H3" t="s">
        <v>73</v>
      </c>
      <c r="I3" t="s">
        <v>74</v>
      </c>
      <c r="J3" s="3" t="s">
        <v>70</v>
      </c>
    </row>
    <row r="4" spans="1:11" ht="13.8" x14ac:dyDescent="0.3">
      <c r="A4" s="6" t="s">
        <v>70</v>
      </c>
      <c r="B4" s="6">
        <f>SUM(B6:B158)/1000000000000</f>
        <v>9.9999999999999995E-8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ht="13.8" x14ac:dyDescent="0.3">
      <c r="A5" t="s">
        <v>69</v>
      </c>
      <c r="J5" s="3"/>
      <c r="K5" s="12"/>
    </row>
    <row r="6" spans="1:11" ht="13.8" x14ac:dyDescent="0.3">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ht="13.8" x14ac:dyDescent="0.3">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ht="13.8" x14ac:dyDescent="0.3">
      <c r="A8">
        <v>0.68</v>
      </c>
      <c r="B8">
        <f t="shared" si="3"/>
        <v>0</v>
      </c>
      <c r="C8">
        <f t="shared" si="4"/>
        <v>0</v>
      </c>
      <c r="D8">
        <f t="shared" si="5"/>
        <v>0</v>
      </c>
      <c r="E8">
        <f t="shared" si="6"/>
        <v>0</v>
      </c>
      <c r="J8" s="3"/>
      <c r="K8" s="12"/>
    </row>
    <row r="9" spans="1:11" ht="13.8" x14ac:dyDescent="0.3">
      <c r="A9">
        <v>0.82</v>
      </c>
      <c r="B9">
        <f t="shared" si="3"/>
        <v>0</v>
      </c>
      <c r="C9">
        <f t="shared" si="4"/>
        <v>0</v>
      </c>
      <c r="D9">
        <f t="shared" si="5"/>
        <v>0</v>
      </c>
      <c r="E9">
        <f t="shared" si="6"/>
        <v>0</v>
      </c>
      <c r="H9" t="s">
        <v>383</v>
      </c>
      <c r="I9">
        <f>RTC_1</f>
        <v>406399.99999999994</v>
      </c>
      <c r="J9" s="3">
        <f t="shared" si="1"/>
        <v>402000</v>
      </c>
      <c r="K9" s="12" t="s">
        <v>136</v>
      </c>
    </row>
    <row r="10" spans="1:11" ht="13.8" x14ac:dyDescent="0.3">
      <c r="A10">
        <v>1</v>
      </c>
      <c r="B10">
        <f t="shared" si="3"/>
        <v>0</v>
      </c>
      <c r="C10">
        <f t="shared" si="4"/>
        <v>0</v>
      </c>
      <c r="D10">
        <f t="shared" si="5"/>
        <v>0</v>
      </c>
      <c r="E10">
        <f t="shared" si="6"/>
        <v>0</v>
      </c>
      <c r="H10" t="s">
        <v>17</v>
      </c>
      <c r="I10">
        <f>Rfb</f>
        <v>203200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205000</v>
      </c>
      <c r="K10" s="12" t="s">
        <v>136</v>
      </c>
    </row>
    <row r="11" spans="1:11" x14ac:dyDescent="0.25">
      <c r="A11">
        <v>1.2</v>
      </c>
      <c r="B11">
        <f t="shared" si="3"/>
        <v>0</v>
      </c>
      <c r="C11">
        <f t="shared" si="4"/>
        <v>0</v>
      </c>
      <c r="D11">
        <f t="shared" si="5"/>
        <v>0</v>
      </c>
      <c r="E11">
        <f t="shared" si="6"/>
        <v>0</v>
      </c>
      <c r="J11" s="3"/>
    </row>
    <row r="12" spans="1:11" x14ac:dyDescent="0.25">
      <c r="A12">
        <v>1.5</v>
      </c>
      <c r="B12">
        <f t="shared" si="3"/>
        <v>0</v>
      </c>
      <c r="C12">
        <f t="shared" si="4"/>
        <v>0</v>
      </c>
      <c r="D12">
        <f t="shared" si="5"/>
        <v>0</v>
      </c>
      <c r="E12">
        <f t="shared" si="6"/>
        <v>0</v>
      </c>
      <c r="J12" s="3"/>
    </row>
    <row r="13" spans="1:11" ht="13.8" x14ac:dyDescent="0.3">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5">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5">
      <c r="A15">
        <v>2.7</v>
      </c>
      <c r="B15">
        <f t="shared" si="3"/>
        <v>0</v>
      </c>
      <c r="C15">
        <f t="shared" si="4"/>
        <v>0</v>
      </c>
      <c r="D15">
        <f t="shared" si="5"/>
        <v>0</v>
      </c>
      <c r="E15">
        <f t="shared" si="6"/>
        <v>0</v>
      </c>
    </row>
    <row r="16" spans="1:11" ht="13.8" x14ac:dyDescent="0.3">
      <c r="A16">
        <v>3.3</v>
      </c>
      <c r="B16">
        <f t="shared" si="3"/>
        <v>0</v>
      </c>
      <c r="C16">
        <f t="shared" si="4"/>
        <v>0</v>
      </c>
      <c r="D16">
        <f t="shared" si="5"/>
        <v>0</v>
      </c>
      <c r="E16">
        <f t="shared" si="6"/>
        <v>0</v>
      </c>
      <c r="H16" s="59" t="s">
        <v>130</v>
      </c>
      <c r="I16">
        <f>Ruvlo1</f>
        <v>46.666666666666679</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46.400000000000006</v>
      </c>
      <c r="K16" s="12" t="s">
        <v>113</v>
      </c>
    </row>
    <row r="17" spans="1:11" ht="13.8" x14ac:dyDescent="0.3">
      <c r="A17">
        <v>3.9</v>
      </c>
      <c r="B17">
        <f t="shared" si="3"/>
        <v>0</v>
      </c>
      <c r="C17">
        <f t="shared" si="4"/>
        <v>0</v>
      </c>
      <c r="D17">
        <f t="shared" si="5"/>
        <v>0</v>
      </c>
      <c r="E17">
        <f t="shared" si="6"/>
        <v>0</v>
      </c>
      <c r="H17" s="59" t="s">
        <v>131</v>
      </c>
      <c r="I17" s="153">
        <f>Ruvlo2</f>
        <v>10.707692307692309</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10.700000000000001</v>
      </c>
      <c r="K17" s="12" t="s">
        <v>113</v>
      </c>
    </row>
    <row r="18" spans="1:11" ht="13.8" x14ac:dyDescent="0.3">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5">
      <c r="A19">
        <v>5.6</v>
      </c>
      <c r="B19">
        <f t="shared" si="3"/>
        <v>0</v>
      </c>
      <c r="C19">
        <f t="shared" si="4"/>
        <v>0</v>
      </c>
      <c r="D19">
        <f t="shared" si="5"/>
        <v>0</v>
      </c>
      <c r="E19">
        <f t="shared" si="6"/>
        <v>0</v>
      </c>
    </row>
    <row r="20" spans="1:11" x14ac:dyDescent="0.25">
      <c r="A20">
        <v>6.8</v>
      </c>
      <c r="B20">
        <f t="shared" si="3"/>
        <v>0</v>
      </c>
      <c r="C20">
        <f t="shared" si="4"/>
        <v>0</v>
      </c>
      <c r="D20">
        <f t="shared" si="5"/>
        <v>0</v>
      </c>
      <c r="E20">
        <f t="shared" si="6"/>
        <v>0</v>
      </c>
      <c r="H20" s="59"/>
      <c r="J20" s="3"/>
    </row>
    <row r="21" spans="1:11" x14ac:dyDescent="0.25">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ht="13.8" x14ac:dyDescent="0.3">
      <c r="A22">
        <v>10</v>
      </c>
      <c r="B22">
        <f t="shared" si="3"/>
        <v>0</v>
      </c>
      <c r="C22">
        <f t="shared" si="4"/>
        <v>0</v>
      </c>
      <c r="D22">
        <f t="shared" si="5"/>
        <v>0</v>
      </c>
      <c r="E22">
        <f t="shared" si="6"/>
        <v>0</v>
      </c>
      <c r="H22" s="59"/>
      <c r="J22" s="3"/>
      <c r="K22" s="12"/>
    </row>
    <row r="23" spans="1:11" ht="13.8" x14ac:dyDescent="0.3">
      <c r="A23">
        <v>12</v>
      </c>
      <c r="B23">
        <f t="shared" si="3"/>
        <v>0</v>
      </c>
      <c r="C23">
        <f t="shared" si="4"/>
        <v>0</v>
      </c>
      <c r="D23">
        <f t="shared" si="5"/>
        <v>0</v>
      </c>
      <c r="E23">
        <f t="shared" si="6"/>
        <v>0</v>
      </c>
      <c r="H23" t="s">
        <v>838</v>
      </c>
      <c r="I23">
        <f>'Calculations - Single'!H329</f>
        <v>-4453.6457281357298</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5">
      <c r="A24">
        <v>15</v>
      </c>
      <c r="B24">
        <f t="shared" si="3"/>
        <v>0</v>
      </c>
      <c r="C24">
        <f t="shared" si="4"/>
        <v>0</v>
      </c>
      <c r="D24">
        <f t="shared" si="5"/>
        <v>0</v>
      </c>
      <c r="E24">
        <f t="shared" si="6"/>
        <v>0</v>
      </c>
      <c r="H24" t="s">
        <v>849</v>
      </c>
      <c r="I24">
        <f>'Calculations - Dual'!H329</f>
        <v>-4453.6457281357298</v>
      </c>
      <c r="J24" s="3" t="e">
        <f t="shared" si="8"/>
        <v>#NUM!</v>
      </c>
    </row>
    <row r="25" spans="1:11" ht="13.8" x14ac:dyDescent="0.3">
      <c r="A25">
        <v>18</v>
      </c>
      <c r="B25">
        <f t="shared" si="3"/>
        <v>0</v>
      </c>
      <c r="C25">
        <f t="shared" si="4"/>
        <v>0</v>
      </c>
      <c r="D25">
        <f t="shared" si="5"/>
        <v>0</v>
      </c>
      <c r="E25">
        <f t="shared" si="6"/>
        <v>0</v>
      </c>
      <c r="H25" s="59" t="s">
        <v>848</v>
      </c>
      <c r="I25">
        <f>'Calculations - Dual'!O329</f>
        <v>-3571.7539863325737</v>
      </c>
      <c r="J25" s="3" t="e">
        <f t="shared" si="8"/>
        <v>#NUM!</v>
      </c>
      <c r="K25" s="12"/>
    </row>
    <row r="26" spans="1:11" x14ac:dyDescent="0.25">
      <c r="A26">
        <v>22</v>
      </c>
      <c r="B26">
        <f t="shared" si="3"/>
        <v>0</v>
      </c>
      <c r="C26">
        <f t="shared" si="4"/>
        <v>0</v>
      </c>
      <c r="D26">
        <f t="shared" si="5"/>
        <v>0</v>
      </c>
      <c r="E26">
        <f t="shared" si="6"/>
        <v>0</v>
      </c>
    </row>
    <row r="27" spans="1:11" x14ac:dyDescent="0.25">
      <c r="A27">
        <v>27</v>
      </c>
      <c r="B27">
        <f t="shared" si="3"/>
        <v>0</v>
      </c>
      <c r="C27">
        <f t="shared" si="4"/>
        <v>0</v>
      </c>
      <c r="D27">
        <f t="shared" si="5"/>
        <v>0</v>
      </c>
      <c r="E27">
        <f t="shared" si="6"/>
        <v>0</v>
      </c>
      <c r="H27" t="s">
        <v>859</v>
      </c>
      <c r="I27">
        <f>'Calculations - Single'!G327</f>
        <v>9.7999999999999997E-4</v>
      </c>
    </row>
    <row r="28" spans="1:11" ht="13.8" x14ac:dyDescent="0.3">
      <c r="A28">
        <v>33</v>
      </c>
      <c r="B28">
        <f t="shared" si="3"/>
        <v>0</v>
      </c>
      <c r="C28">
        <f t="shared" si="4"/>
        <v>0</v>
      </c>
      <c r="D28">
        <f t="shared" si="5"/>
        <v>0</v>
      </c>
      <c r="E28">
        <f t="shared" si="6"/>
        <v>0</v>
      </c>
      <c r="H28" s="59" t="s">
        <v>860</v>
      </c>
      <c r="I28">
        <f>'Calculations - Dual'!G327</f>
        <v>9.7999999999999997E-4</v>
      </c>
      <c r="K28" s="12"/>
    </row>
    <row r="29" spans="1:11" x14ac:dyDescent="0.25">
      <c r="A29">
        <v>39</v>
      </c>
      <c r="B29">
        <f t="shared" si="3"/>
        <v>0</v>
      </c>
      <c r="C29">
        <f t="shared" si="4"/>
        <v>0</v>
      </c>
      <c r="D29">
        <f t="shared" si="5"/>
        <v>0</v>
      </c>
      <c r="E29">
        <f t="shared" si="6"/>
        <v>0</v>
      </c>
      <c r="H29" s="59" t="s">
        <v>861</v>
      </c>
      <c r="I29">
        <f>'Calculations - Dual'!N327</f>
        <v>9.7999999999999997E-4</v>
      </c>
      <c r="K29" s="59"/>
    </row>
    <row r="30" spans="1:11" x14ac:dyDescent="0.25">
      <c r="A30">
        <v>47</v>
      </c>
      <c r="B30">
        <f t="shared" si="3"/>
        <v>0</v>
      </c>
      <c r="C30">
        <f t="shared" si="4"/>
        <v>0</v>
      </c>
      <c r="D30">
        <f t="shared" si="5"/>
        <v>0</v>
      </c>
      <c r="E30">
        <f t="shared" si="6"/>
        <v>0</v>
      </c>
      <c r="H30" s="4"/>
      <c r="K30" s="59"/>
    </row>
    <row r="31" spans="1:11" ht="13.8" x14ac:dyDescent="0.3">
      <c r="A31">
        <v>56</v>
      </c>
      <c r="B31">
        <f t="shared" si="3"/>
        <v>0</v>
      </c>
      <c r="C31">
        <f t="shared" si="4"/>
        <v>0</v>
      </c>
      <c r="D31">
        <f t="shared" si="5"/>
        <v>0</v>
      </c>
      <c r="E31">
        <f t="shared" si="6"/>
        <v>0</v>
      </c>
      <c r="H31" s="4">
        <f>Npri_sec2</f>
        <v>1.2450980392156863</v>
      </c>
      <c r="K31" s="12"/>
    </row>
    <row r="32" spans="1:11" x14ac:dyDescent="0.25">
      <c r="A32">
        <v>68</v>
      </c>
      <c r="B32">
        <f t="shared" si="3"/>
        <v>0</v>
      </c>
      <c r="C32">
        <f t="shared" si="4"/>
        <v>0</v>
      </c>
      <c r="D32">
        <f t="shared" si="5"/>
        <v>0</v>
      </c>
      <c r="E32">
        <f t="shared" si="6"/>
        <v>0</v>
      </c>
      <c r="H32" s="4"/>
      <c r="K32" s="59"/>
    </row>
    <row r="33" spans="1:8" x14ac:dyDescent="0.25">
      <c r="A33">
        <v>82</v>
      </c>
      <c r="B33">
        <f t="shared" si="3"/>
        <v>0</v>
      </c>
      <c r="C33">
        <f t="shared" si="4"/>
        <v>0</v>
      </c>
      <c r="D33">
        <f t="shared" si="5"/>
        <v>0</v>
      </c>
      <c r="E33">
        <f t="shared" si="6"/>
        <v>0</v>
      </c>
    </row>
    <row r="34" spans="1:8" x14ac:dyDescent="0.25">
      <c r="A34">
        <f>A22*10</f>
        <v>100</v>
      </c>
      <c r="B34">
        <f t="shared" si="3"/>
        <v>0</v>
      </c>
      <c r="C34">
        <f t="shared" si="4"/>
        <v>0</v>
      </c>
      <c r="D34">
        <f t="shared" si="5"/>
        <v>0</v>
      </c>
      <c r="E34">
        <f t="shared" si="6"/>
        <v>0</v>
      </c>
      <c r="H34" s="59"/>
    </row>
    <row r="35" spans="1:8" x14ac:dyDescent="0.25">
      <c r="A35">
        <f t="shared" ref="A35:A98" si="9">A23*10</f>
        <v>120</v>
      </c>
      <c r="B35">
        <f t="shared" si="3"/>
        <v>0</v>
      </c>
      <c r="C35">
        <f t="shared" si="4"/>
        <v>0</v>
      </c>
      <c r="D35">
        <f t="shared" si="5"/>
        <v>0</v>
      </c>
      <c r="E35">
        <f t="shared" si="6"/>
        <v>0</v>
      </c>
      <c r="H35" s="59"/>
    </row>
    <row r="36" spans="1:8" x14ac:dyDescent="0.25">
      <c r="A36">
        <f t="shared" si="9"/>
        <v>150</v>
      </c>
      <c r="B36">
        <f t="shared" si="3"/>
        <v>0</v>
      </c>
      <c r="C36">
        <f t="shared" si="4"/>
        <v>0</v>
      </c>
      <c r="D36">
        <f t="shared" si="5"/>
        <v>0</v>
      </c>
      <c r="E36">
        <f t="shared" si="6"/>
        <v>0</v>
      </c>
    </row>
    <row r="37" spans="1:8" x14ac:dyDescent="0.25">
      <c r="A37">
        <f t="shared" si="9"/>
        <v>180</v>
      </c>
      <c r="B37">
        <f t="shared" si="3"/>
        <v>0</v>
      </c>
      <c r="C37">
        <f t="shared" si="4"/>
        <v>0</v>
      </c>
      <c r="D37">
        <f t="shared" si="5"/>
        <v>0</v>
      </c>
      <c r="E37">
        <f t="shared" si="6"/>
        <v>0</v>
      </c>
    </row>
    <row r="38" spans="1:8" x14ac:dyDescent="0.25">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5">
      <c r="A39">
        <f t="shared" si="9"/>
        <v>270</v>
      </c>
      <c r="B39">
        <f t="shared" si="3"/>
        <v>0</v>
      </c>
      <c r="C39">
        <f t="shared" si="4"/>
        <v>0</v>
      </c>
      <c r="D39">
        <f t="shared" si="5"/>
        <v>0</v>
      </c>
      <c r="E39">
        <f t="shared" si="10"/>
        <v>0</v>
      </c>
    </row>
    <row r="40" spans="1:8" x14ac:dyDescent="0.25">
      <c r="A40">
        <f t="shared" si="9"/>
        <v>330</v>
      </c>
      <c r="B40">
        <f t="shared" si="3"/>
        <v>0</v>
      </c>
      <c r="C40">
        <f t="shared" si="4"/>
        <v>0</v>
      </c>
      <c r="D40">
        <f t="shared" si="5"/>
        <v>0</v>
      </c>
      <c r="E40">
        <f t="shared" si="10"/>
        <v>0</v>
      </c>
    </row>
    <row r="41" spans="1:8" x14ac:dyDescent="0.25">
      <c r="A41">
        <f t="shared" si="9"/>
        <v>390</v>
      </c>
      <c r="B41">
        <f t="shared" si="3"/>
        <v>0</v>
      </c>
      <c r="C41">
        <f t="shared" si="4"/>
        <v>0</v>
      </c>
      <c r="D41">
        <f t="shared" si="5"/>
        <v>0</v>
      </c>
      <c r="E41">
        <f t="shared" si="10"/>
        <v>0</v>
      </c>
    </row>
    <row r="42" spans="1:8" x14ac:dyDescent="0.25">
      <c r="A42">
        <f t="shared" si="9"/>
        <v>470</v>
      </c>
      <c r="B42">
        <f t="shared" si="3"/>
        <v>0</v>
      </c>
      <c r="C42">
        <f t="shared" si="4"/>
        <v>0</v>
      </c>
      <c r="D42">
        <f t="shared" si="5"/>
        <v>0</v>
      </c>
      <c r="E42">
        <f t="shared" si="10"/>
        <v>0</v>
      </c>
    </row>
    <row r="43" spans="1:8" x14ac:dyDescent="0.25">
      <c r="A43">
        <f t="shared" si="9"/>
        <v>560</v>
      </c>
      <c r="B43">
        <f t="shared" si="3"/>
        <v>0</v>
      </c>
      <c r="C43">
        <f t="shared" si="4"/>
        <v>0</v>
      </c>
      <c r="D43">
        <f t="shared" si="5"/>
        <v>0</v>
      </c>
      <c r="E43">
        <f t="shared" si="10"/>
        <v>0</v>
      </c>
    </row>
    <row r="44" spans="1:8" x14ac:dyDescent="0.25">
      <c r="A44">
        <f t="shared" si="9"/>
        <v>680</v>
      </c>
      <c r="B44">
        <f t="shared" si="3"/>
        <v>0</v>
      </c>
      <c r="C44">
        <f t="shared" si="4"/>
        <v>0</v>
      </c>
      <c r="D44">
        <f t="shared" si="5"/>
        <v>0</v>
      </c>
      <c r="E44">
        <f t="shared" si="10"/>
        <v>0</v>
      </c>
    </row>
    <row r="45" spans="1:8" x14ac:dyDescent="0.25">
      <c r="A45">
        <f>A33*10</f>
        <v>820</v>
      </c>
      <c r="B45">
        <f t="shared" si="3"/>
        <v>0</v>
      </c>
      <c r="C45">
        <f t="shared" si="4"/>
        <v>0</v>
      </c>
      <c r="D45">
        <f t="shared" si="5"/>
        <v>0</v>
      </c>
      <c r="E45">
        <f t="shared" si="10"/>
        <v>0</v>
      </c>
    </row>
    <row r="46" spans="1:8" x14ac:dyDescent="0.25">
      <c r="A46">
        <f t="shared" si="9"/>
        <v>1000</v>
      </c>
      <c r="B46">
        <f t="shared" si="3"/>
        <v>0</v>
      </c>
      <c r="C46">
        <f t="shared" si="4"/>
        <v>0</v>
      </c>
      <c r="D46">
        <f t="shared" si="5"/>
        <v>0</v>
      </c>
      <c r="E46">
        <f t="shared" si="10"/>
        <v>0</v>
      </c>
    </row>
    <row r="47" spans="1:8" x14ac:dyDescent="0.25">
      <c r="A47">
        <f t="shared" si="9"/>
        <v>1200</v>
      </c>
      <c r="B47">
        <f t="shared" si="3"/>
        <v>0</v>
      </c>
      <c r="C47">
        <f t="shared" si="4"/>
        <v>0</v>
      </c>
      <c r="D47">
        <f t="shared" si="5"/>
        <v>0</v>
      </c>
      <c r="E47">
        <f t="shared" si="10"/>
        <v>0</v>
      </c>
    </row>
    <row r="48" spans="1:8" x14ac:dyDescent="0.25">
      <c r="A48">
        <f t="shared" si="9"/>
        <v>1500</v>
      </c>
      <c r="B48">
        <f t="shared" si="3"/>
        <v>0</v>
      </c>
      <c r="C48">
        <f t="shared" si="4"/>
        <v>0</v>
      </c>
      <c r="D48">
        <f t="shared" si="5"/>
        <v>0</v>
      </c>
      <c r="E48">
        <f t="shared" si="10"/>
        <v>0</v>
      </c>
    </row>
    <row r="49" spans="1:5" x14ac:dyDescent="0.25">
      <c r="A49">
        <f t="shared" si="9"/>
        <v>1800</v>
      </c>
      <c r="B49">
        <f t="shared" si="3"/>
        <v>0</v>
      </c>
      <c r="C49">
        <f t="shared" si="4"/>
        <v>0</v>
      </c>
      <c r="D49">
        <f t="shared" si="5"/>
        <v>0</v>
      </c>
      <c r="E49">
        <f t="shared" si="10"/>
        <v>0</v>
      </c>
    </row>
    <row r="50" spans="1:5" x14ac:dyDescent="0.25">
      <c r="A50">
        <f t="shared" si="9"/>
        <v>2200</v>
      </c>
      <c r="B50">
        <f t="shared" si="3"/>
        <v>0</v>
      </c>
      <c r="C50">
        <f t="shared" si="4"/>
        <v>0</v>
      </c>
      <c r="D50">
        <f t="shared" si="5"/>
        <v>0</v>
      </c>
      <c r="E50">
        <f t="shared" si="10"/>
        <v>0</v>
      </c>
    </row>
    <row r="51" spans="1:5" x14ac:dyDescent="0.25">
      <c r="A51">
        <f t="shared" si="9"/>
        <v>2700</v>
      </c>
      <c r="B51">
        <f t="shared" si="3"/>
        <v>0</v>
      </c>
      <c r="C51">
        <f t="shared" si="4"/>
        <v>0</v>
      </c>
      <c r="D51">
        <f t="shared" si="5"/>
        <v>0</v>
      </c>
      <c r="E51">
        <f t="shared" si="10"/>
        <v>0</v>
      </c>
    </row>
    <row r="52" spans="1:5" x14ac:dyDescent="0.25">
      <c r="A52">
        <f t="shared" si="9"/>
        <v>3300</v>
      </c>
      <c r="B52">
        <f t="shared" si="3"/>
        <v>0</v>
      </c>
      <c r="C52">
        <f t="shared" si="4"/>
        <v>0</v>
      </c>
      <c r="D52">
        <f t="shared" si="5"/>
        <v>0</v>
      </c>
      <c r="E52">
        <f t="shared" si="10"/>
        <v>0</v>
      </c>
    </row>
    <row r="53" spans="1:5" x14ac:dyDescent="0.25">
      <c r="A53">
        <f t="shared" si="9"/>
        <v>3900</v>
      </c>
      <c r="B53">
        <f t="shared" si="3"/>
        <v>0</v>
      </c>
      <c r="C53">
        <f t="shared" si="4"/>
        <v>0</v>
      </c>
      <c r="D53">
        <f t="shared" si="5"/>
        <v>0</v>
      </c>
      <c r="E53">
        <f t="shared" si="10"/>
        <v>0</v>
      </c>
    </row>
    <row r="54" spans="1:5" x14ac:dyDescent="0.25">
      <c r="A54">
        <f t="shared" si="9"/>
        <v>4700</v>
      </c>
      <c r="B54">
        <f t="shared" si="3"/>
        <v>0</v>
      </c>
      <c r="C54">
        <f t="shared" si="4"/>
        <v>0</v>
      </c>
      <c r="D54">
        <f t="shared" si="5"/>
        <v>0</v>
      </c>
      <c r="E54">
        <f t="shared" si="10"/>
        <v>0</v>
      </c>
    </row>
    <row r="55" spans="1:5" x14ac:dyDescent="0.25">
      <c r="A55">
        <f t="shared" si="9"/>
        <v>5600</v>
      </c>
      <c r="B55">
        <f t="shared" si="3"/>
        <v>0</v>
      </c>
      <c r="C55">
        <f t="shared" si="4"/>
        <v>0</v>
      </c>
      <c r="D55">
        <f t="shared" si="5"/>
        <v>0</v>
      </c>
      <c r="E55">
        <f t="shared" si="10"/>
        <v>0</v>
      </c>
    </row>
    <row r="56" spans="1:5" x14ac:dyDescent="0.25">
      <c r="A56">
        <f t="shared" si="9"/>
        <v>6800</v>
      </c>
      <c r="B56">
        <f t="shared" si="3"/>
        <v>0</v>
      </c>
      <c r="C56">
        <f t="shared" si="4"/>
        <v>0</v>
      </c>
      <c r="D56">
        <f t="shared" si="5"/>
        <v>0</v>
      </c>
      <c r="E56">
        <f t="shared" si="10"/>
        <v>0</v>
      </c>
    </row>
    <row r="57" spans="1:5" x14ac:dyDescent="0.25">
      <c r="A57">
        <f t="shared" si="9"/>
        <v>8200</v>
      </c>
      <c r="B57">
        <f t="shared" si="3"/>
        <v>0</v>
      </c>
      <c r="C57">
        <f t="shared" si="4"/>
        <v>0</v>
      </c>
      <c r="D57">
        <f t="shared" si="5"/>
        <v>0</v>
      </c>
      <c r="E57">
        <f t="shared" si="10"/>
        <v>0</v>
      </c>
    </row>
    <row r="58" spans="1:5" x14ac:dyDescent="0.25">
      <c r="A58">
        <f t="shared" si="9"/>
        <v>10000</v>
      </c>
      <c r="B58">
        <f t="shared" si="3"/>
        <v>0</v>
      </c>
      <c r="C58">
        <f t="shared" si="4"/>
        <v>0</v>
      </c>
      <c r="D58">
        <f t="shared" si="5"/>
        <v>0</v>
      </c>
      <c r="E58">
        <f t="shared" si="10"/>
        <v>0</v>
      </c>
    </row>
    <row r="59" spans="1:5" x14ac:dyDescent="0.25">
      <c r="A59">
        <f t="shared" si="9"/>
        <v>12000</v>
      </c>
      <c r="B59">
        <f t="shared" si="3"/>
        <v>0</v>
      </c>
      <c r="C59">
        <f t="shared" si="4"/>
        <v>0</v>
      </c>
      <c r="D59">
        <f t="shared" si="5"/>
        <v>0</v>
      </c>
      <c r="E59">
        <f t="shared" si="10"/>
        <v>0</v>
      </c>
    </row>
    <row r="60" spans="1:5" x14ac:dyDescent="0.25">
      <c r="A60">
        <f t="shared" si="9"/>
        <v>15000</v>
      </c>
      <c r="B60">
        <f t="shared" si="3"/>
        <v>0</v>
      </c>
      <c r="C60">
        <f t="shared" si="4"/>
        <v>0</v>
      </c>
      <c r="D60">
        <f t="shared" si="5"/>
        <v>0</v>
      </c>
      <c r="E60">
        <f t="shared" si="10"/>
        <v>0</v>
      </c>
    </row>
    <row r="61" spans="1:5" x14ac:dyDescent="0.25">
      <c r="A61">
        <f t="shared" si="9"/>
        <v>18000</v>
      </c>
      <c r="B61">
        <f t="shared" si="3"/>
        <v>0</v>
      </c>
      <c r="C61">
        <f t="shared" si="4"/>
        <v>0</v>
      </c>
      <c r="D61">
        <f t="shared" si="5"/>
        <v>0</v>
      </c>
      <c r="E61">
        <f t="shared" si="10"/>
        <v>0</v>
      </c>
    </row>
    <row r="62" spans="1:5" x14ac:dyDescent="0.25">
      <c r="A62">
        <f t="shared" si="9"/>
        <v>22000</v>
      </c>
      <c r="B62">
        <f t="shared" si="3"/>
        <v>0</v>
      </c>
      <c r="C62">
        <f t="shared" si="4"/>
        <v>0</v>
      </c>
      <c r="D62">
        <f t="shared" si="5"/>
        <v>0</v>
      </c>
      <c r="E62">
        <f t="shared" si="10"/>
        <v>0</v>
      </c>
    </row>
    <row r="63" spans="1:5" x14ac:dyDescent="0.25">
      <c r="A63">
        <f t="shared" si="9"/>
        <v>27000</v>
      </c>
      <c r="B63">
        <f t="shared" si="3"/>
        <v>0</v>
      </c>
      <c r="C63">
        <f t="shared" si="4"/>
        <v>0</v>
      </c>
      <c r="D63">
        <f t="shared" si="5"/>
        <v>0</v>
      </c>
      <c r="E63">
        <f t="shared" si="10"/>
        <v>0</v>
      </c>
    </row>
    <row r="64" spans="1:5" x14ac:dyDescent="0.25">
      <c r="A64">
        <f t="shared" si="9"/>
        <v>33000</v>
      </c>
      <c r="B64">
        <f t="shared" si="3"/>
        <v>0</v>
      </c>
      <c r="C64">
        <f t="shared" si="4"/>
        <v>0</v>
      </c>
      <c r="D64">
        <f t="shared" si="5"/>
        <v>0</v>
      </c>
      <c r="E64">
        <f t="shared" si="10"/>
        <v>0</v>
      </c>
    </row>
    <row r="65" spans="1:5" x14ac:dyDescent="0.25">
      <c r="A65">
        <f t="shared" si="9"/>
        <v>39000</v>
      </c>
      <c r="B65">
        <f t="shared" si="3"/>
        <v>0</v>
      </c>
      <c r="C65">
        <f t="shared" si="4"/>
        <v>0</v>
      </c>
      <c r="D65">
        <f t="shared" si="5"/>
        <v>0</v>
      </c>
      <c r="E65">
        <f t="shared" si="10"/>
        <v>0</v>
      </c>
    </row>
    <row r="66" spans="1:5" x14ac:dyDescent="0.25">
      <c r="A66">
        <f t="shared" si="9"/>
        <v>47000</v>
      </c>
      <c r="B66">
        <f t="shared" si="3"/>
        <v>0</v>
      </c>
      <c r="C66">
        <f t="shared" si="4"/>
        <v>0</v>
      </c>
      <c r="D66">
        <f t="shared" si="5"/>
        <v>0</v>
      </c>
      <c r="E66">
        <f t="shared" si="10"/>
        <v>0</v>
      </c>
    </row>
    <row r="67" spans="1:5" x14ac:dyDescent="0.25">
      <c r="A67">
        <f t="shared" si="9"/>
        <v>56000</v>
      </c>
      <c r="B67">
        <f t="shared" si="3"/>
        <v>0</v>
      </c>
      <c r="C67">
        <f t="shared" si="4"/>
        <v>0</v>
      </c>
      <c r="D67">
        <f t="shared" si="5"/>
        <v>0</v>
      </c>
      <c r="E67">
        <f t="shared" si="10"/>
        <v>0</v>
      </c>
    </row>
    <row r="68" spans="1:5" x14ac:dyDescent="0.25">
      <c r="A68">
        <f t="shared" si="9"/>
        <v>68000</v>
      </c>
      <c r="B68">
        <f t="shared" si="3"/>
        <v>0</v>
      </c>
      <c r="C68">
        <f t="shared" si="4"/>
        <v>0</v>
      </c>
      <c r="D68">
        <f t="shared" si="5"/>
        <v>0</v>
      </c>
      <c r="E68">
        <f t="shared" si="10"/>
        <v>0</v>
      </c>
    </row>
    <row r="69" spans="1:5" x14ac:dyDescent="0.25">
      <c r="A69">
        <f t="shared" si="9"/>
        <v>82000</v>
      </c>
      <c r="B69">
        <f t="shared" si="3"/>
        <v>0</v>
      </c>
      <c r="C69">
        <f t="shared" si="4"/>
        <v>0</v>
      </c>
      <c r="D69">
        <f t="shared" si="5"/>
        <v>0</v>
      </c>
      <c r="E69">
        <f t="shared" si="10"/>
        <v>0</v>
      </c>
    </row>
    <row r="70" spans="1:5" x14ac:dyDescent="0.25">
      <c r="A70">
        <f t="shared" si="9"/>
        <v>100000</v>
      </c>
      <c r="B70">
        <f t="shared" si="3"/>
        <v>100000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5">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5">
      <c r="A72">
        <f t="shared" si="9"/>
        <v>150000</v>
      </c>
      <c r="B72">
        <f t="shared" si="13"/>
        <v>0</v>
      </c>
      <c r="C72">
        <f t="shared" si="14"/>
        <v>0</v>
      </c>
      <c r="D72">
        <f t="shared" si="15"/>
        <v>0</v>
      </c>
      <c r="E72">
        <f t="shared" si="12"/>
        <v>0</v>
      </c>
    </row>
    <row r="73" spans="1:5" x14ac:dyDescent="0.25">
      <c r="A73">
        <f t="shared" si="9"/>
        <v>180000</v>
      </c>
      <c r="B73">
        <f t="shared" si="13"/>
        <v>0</v>
      </c>
      <c r="C73">
        <f t="shared" si="14"/>
        <v>0</v>
      </c>
      <c r="D73">
        <f t="shared" si="15"/>
        <v>0</v>
      </c>
      <c r="E73">
        <f t="shared" si="12"/>
        <v>0</v>
      </c>
    </row>
    <row r="74" spans="1:5" x14ac:dyDescent="0.25">
      <c r="A74">
        <f t="shared" si="9"/>
        <v>220000</v>
      </c>
      <c r="B74">
        <f t="shared" si="13"/>
        <v>0</v>
      </c>
      <c r="C74">
        <f t="shared" si="14"/>
        <v>0</v>
      </c>
      <c r="D74">
        <f t="shared" si="15"/>
        <v>0</v>
      </c>
      <c r="E74">
        <f t="shared" si="12"/>
        <v>0</v>
      </c>
    </row>
    <row r="75" spans="1:5" x14ac:dyDescent="0.25">
      <c r="A75">
        <f t="shared" si="9"/>
        <v>270000</v>
      </c>
      <c r="B75">
        <f t="shared" si="13"/>
        <v>0</v>
      </c>
      <c r="C75">
        <f t="shared" si="14"/>
        <v>0</v>
      </c>
      <c r="D75">
        <f t="shared" si="15"/>
        <v>0</v>
      </c>
      <c r="E75">
        <f t="shared" si="12"/>
        <v>0</v>
      </c>
    </row>
    <row r="76" spans="1:5" x14ac:dyDescent="0.25">
      <c r="A76">
        <f t="shared" si="9"/>
        <v>330000</v>
      </c>
      <c r="B76">
        <f t="shared" si="13"/>
        <v>0</v>
      </c>
      <c r="C76">
        <f t="shared" si="14"/>
        <v>0</v>
      </c>
      <c r="D76">
        <f t="shared" si="15"/>
        <v>0</v>
      </c>
      <c r="E76">
        <f t="shared" si="12"/>
        <v>0</v>
      </c>
    </row>
    <row r="77" spans="1:5" x14ac:dyDescent="0.25">
      <c r="A77">
        <f t="shared" si="9"/>
        <v>390000</v>
      </c>
      <c r="B77">
        <f t="shared" si="13"/>
        <v>0</v>
      </c>
      <c r="C77">
        <f t="shared" si="14"/>
        <v>0</v>
      </c>
      <c r="D77">
        <f t="shared" si="15"/>
        <v>0</v>
      </c>
      <c r="E77">
        <f t="shared" si="12"/>
        <v>0</v>
      </c>
    </row>
    <row r="78" spans="1:5" x14ac:dyDescent="0.25">
      <c r="A78">
        <f t="shared" si="9"/>
        <v>470000</v>
      </c>
      <c r="B78">
        <f t="shared" si="13"/>
        <v>0</v>
      </c>
      <c r="C78">
        <f t="shared" si="14"/>
        <v>0</v>
      </c>
      <c r="D78">
        <f t="shared" si="15"/>
        <v>0</v>
      </c>
      <c r="E78">
        <f t="shared" si="12"/>
        <v>0</v>
      </c>
    </row>
    <row r="79" spans="1:5" x14ac:dyDescent="0.25">
      <c r="A79">
        <f t="shared" si="9"/>
        <v>560000</v>
      </c>
      <c r="B79">
        <f t="shared" si="13"/>
        <v>0</v>
      </c>
      <c r="C79">
        <f t="shared" si="14"/>
        <v>0</v>
      </c>
      <c r="D79">
        <f t="shared" si="15"/>
        <v>0</v>
      </c>
      <c r="E79">
        <f t="shared" si="12"/>
        <v>0</v>
      </c>
    </row>
    <row r="80" spans="1:5" x14ac:dyDescent="0.25">
      <c r="A80">
        <f t="shared" si="9"/>
        <v>680000</v>
      </c>
      <c r="B80">
        <f t="shared" si="13"/>
        <v>0</v>
      </c>
      <c r="C80">
        <f t="shared" si="14"/>
        <v>0</v>
      </c>
      <c r="D80">
        <f t="shared" si="15"/>
        <v>0</v>
      </c>
      <c r="E80">
        <f t="shared" si="12"/>
        <v>0</v>
      </c>
    </row>
    <row r="81" spans="1:5" x14ac:dyDescent="0.25">
      <c r="A81">
        <f t="shared" si="9"/>
        <v>820000</v>
      </c>
      <c r="B81">
        <f t="shared" si="13"/>
        <v>0</v>
      </c>
      <c r="C81">
        <f t="shared" si="14"/>
        <v>0</v>
      </c>
      <c r="D81">
        <f t="shared" si="15"/>
        <v>0</v>
      </c>
      <c r="E81">
        <f t="shared" si="12"/>
        <v>0</v>
      </c>
    </row>
    <row r="82" spans="1:5" x14ac:dyDescent="0.25">
      <c r="A82">
        <f t="shared" si="9"/>
        <v>1000000</v>
      </c>
      <c r="B82">
        <f t="shared" si="13"/>
        <v>0</v>
      </c>
      <c r="C82">
        <f t="shared" si="14"/>
        <v>0</v>
      </c>
      <c r="D82">
        <f t="shared" si="15"/>
        <v>0</v>
      </c>
      <c r="E82">
        <f t="shared" si="12"/>
        <v>0</v>
      </c>
    </row>
    <row r="83" spans="1:5" x14ac:dyDescent="0.25">
      <c r="A83">
        <f t="shared" si="9"/>
        <v>1200000</v>
      </c>
      <c r="B83">
        <f t="shared" si="13"/>
        <v>0</v>
      </c>
      <c r="C83">
        <f t="shared" si="14"/>
        <v>0</v>
      </c>
      <c r="D83">
        <f t="shared" si="15"/>
        <v>0</v>
      </c>
      <c r="E83">
        <f t="shared" si="12"/>
        <v>0</v>
      </c>
    </row>
    <row r="84" spans="1:5" x14ac:dyDescent="0.25">
      <c r="A84">
        <f t="shared" si="9"/>
        <v>1500000</v>
      </c>
      <c r="B84">
        <f t="shared" si="13"/>
        <v>0</v>
      </c>
      <c r="C84">
        <f t="shared" si="14"/>
        <v>0</v>
      </c>
      <c r="D84">
        <f t="shared" si="15"/>
        <v>0</v>
      </c>
      <c r="E84">
        <f t="shared" si="12"/>
        <v>0</v>
      </c>
    </row>
    <row r="85" spans="1:5" x14ac:dyDescent="0.25">
      <c r="A85">
        <f t="shared" si="9"/>
        <v>1800000</v>
      </c>
      <c r="B85">
        <f t="shared" si="13"/>
        <v>0</v>
      </c>
      <c r="C85">
        <f t="shared" si="14"/>
        <v>0</v>
      </c>
      <c r="D85">
        <f t="shared" si="15"/>
        <v>0</v>
      </c>
      <c r="E85">
        <f t="shared" si="12"/>
        <v>0</v>
      </c>
    </row>
    <row r="86" spans="1:5" x14ac:dyDescent="0.25">
      <c r="A86">
        <f t="shared" si="9"/>
        <v>2200000</v>
      </c>
      <c r="B86">
        <f t="shared" si="13"/>
        <v>0</v>
      </c>
      <c r="C86">
        <f t="shared" si="14"/>
        <v>0</v>
      </c>
      <c r="D86">
        <f t="shared" si="15"/>
        <v>0</v>
      </c>
      <c r="E86">
        <f t="shared" si="12"/>
        <v>0</v>
      </c>
    </row>
    <row r="87" spans="1:5" x14ac:dyDescent="0.25">
      <c r="A87">
        <f t="shared" si="9"/>
        <v>2700000</v>
      </c>
      <c r="B87">
        <f t="shared" si="13"/>
        <v>0</v>
      </c>
      <c r="C87">
        <f t="shared" si="14"/>
        <v>0</v>
      </c>
      <c r="D87">
        <f t="shared" si="15"/>
        <v>0</v>
      </c>
      <c r="E87">
        <f t="shared" si="12"/>
        <v>0</v>
      </c>
    </row>
    <row r="88" spans="1:5" x14ac:dyDescent="0.25">
      <c r="A88">
        <f t="shared" si="9"/>
        <v>3300000</v>
      </c>
      <c r="B88">
        <f t="shared" si="13"/>
        <v>0</v>
      </c>
      <c r="C88">
        <f t="shared" si="14"/>
        <v>0</v>
      </c>
      <c r="D88">
        <f t="shared" si="15"/>
        <v>0</v>
      </c>
      <c r="E88">
        <f t="shared" si="12"/>
        <v>0</v>
      </c>
    </row>
    <row r="89" spans="1:5" x14ac:dyDescent="0.25">
      <c r="A89">
        <f t="shared" si="9"/>
        <v>3900000</v>
      </c>
      <c r="B89">
        <f t="shared" si="13"/>
        <v>0</v>
      </c>
      <c r="C89">
        <f t="shared" si="14"/>
        <v>0</v>
      </c>
      <c r="D89">
        <f t="shared" si="15"/>
        <v>0</v>
      </c>
      <c r="E89">
        <f t="shared" si="12"/>
        <v>0</v>
      </c>
    </row>
    <row r="90" spans="1:5" x14ac:dyDescent="0.25">
      <c r="A90">
        <f t="shared" si="9"/>
        <v>4700000</v>
      </c>
      <c r="B90">
        <f t="shared" si="13"/>
        <v>0</v>
      </c>
      <c r="C90">
        <f t="shared" si="14"/>
        <v>0</v>
      </c>
      <c r="D90">
        <f t="shared" si="15"/>
        <v>0</v>
      </c>
      <c r="E90">
        <f t="shared" si="12"/>
        <v>0</v>
      </c>
    </row>
    <row r="91" spans="1:5" x14ac:dyDescent="0.25">
      <c r="A91">
        <f t="shared" si="9"/>
        <v>5600000</v>
      </c>
      <c r="B91">
        <f t="shared" si="13"/>
        <v>0</v>
      </c>
      <c r="C91">
        <f t="shared" si="14"/>
        <v>0</v>
      </c>
      <c r="D91">
        <f t="shared" si="15"/>
        <v>0</v>
      </c>
      <c r="E91">
        <f t="shared" si="12"/>
        <v>0</v>
      </c>
    </row>
    <row r="92" spans="1:5" x14ac:dyDescent="0.25">
      <c r="A92">
        <f t="shared" si="9"/>
        <v>6800000</v>
      </c>
      <c r="B92">
        <f t="shared" si="13"/>
        <v>0</v>
      </c>
      <c r="C92">
        <f t="shared" si="14"/>
        <v>0</v>
      </c>
      <c r="D92">
        <f t="shared" si="15"/>
        <v>0</v>
      </c>
      <c r="E92">
        <f t="shared" si="12"/>
        <v>0</v>
      </c>
    </row>
    <row r="93" spans="1:5" x14ac:dyDescent="0.25">
      <c r="A93">
        <f t="shared" si="9"/>
        <v>8200000</v>
      </c>
      <c r="B93">
        <f t="shared" si="13"/>
        <v>0</v>
      </c>
      <c r="C93">
        <f t="shared" si="14"/>
        <v>0</v>
      </c>
      <c r="D93">
        <f t="shared" si="15"/>
        <v>0</v>
      </c>
      <c r="E93">
        <f t="shared" si="12"/>
        <v>0</v>
      </c>
    </row>
    <row r="94" spans="1:5" x14ac:dyDescent="0.25">
      <c r="A94">
        <f t="shared" si="9"/>
        <v>10000000</v>
      </c>
      <c r="B94">
        <f t="shared" si="13"/>
        <v>0</v>
      </c>
      <c r="C94">
        <f t="shared" si="14"/>
        <v>0</v>
      </c>
      <c r="D94">
        <f t="shared" si="15"/>
        <v>0</v>
      </c>
      <c r="E94">
        <f t="shared" si="12"/>
        <v>0</v>
      </c>
    </row>
    <row r="95" spans="1:5" x14ac:dyDescent="0.25">
      <c r="A95">
        <f t="shared" si="9"/>
        <v>12000000</v>
      </c>
      <c r="B95">
        <f t="shared" si="13"/>
        <v>0</v>
      </c>
      <c r="C95">
        <f t="shared" si="14"/>
        <v>0</v>
      </c>
      <c r="D95">
        <f t="shared" si="15"/>
        <v>0</v>
      </c>
      <c r="E95">
        <f t="shared" si="12"/>
        <v>0</v>
      </c>
    </row>
    <row r="96" spans="1:5" x14ac:dyDescent="0.25">
      <c r="A96">
        <f t="shared" si="9"/>
        <v>15000000</v>
      </c>
      <c r="B96">
        <f t="shared" si="13"/>
        <v>0</v>
      </c>
      <c r="C96">
        <f t="shared" si="14"/>
        <v>0</v>
      </c>
      <c r="D96">
        <f t="shared" si="15"/>
        <v>0</v>
      </c>
      <c r="E96">
        <f t="shared" si="12"/>
        <v>0</v>
      </c>
    </row>
    <row r="97" spans="1:5" x14ac:dyDescent="0.25">
      <c r="A97">
        <f t="shared" si="9"/>
        <v>18000000</v>
      </c>
      <c r="B97">
        <f t="shared" si="13"/>
        <v>0</v>
      </c>
      <c r="C97">
        <f t="shared" si="14"/>
        <v>0</v>
      </c>
      <c r="D97">
        <f t="shared" si="15"/>
        <v>0</v>
      </c>
      <c r="E97">
        <f t="shared" si="12"/>
        <v>0</v>
      </c>
    </row>
    <row r="98" spans="1:5" x14ac:dyDescent="0.25">
      <c r="A98">
        <f t="shared" si="9"/>
        <v>22000000</v>
      </c>
      <c r="B98">
        <f t="shared" si="13"/>
        <v>0</v>
      </c>
      <c r="C98">
        <f t="shared" si="14"/>
        <v>0</v>
      </c>
      <c r="D98">
        <f t="shared" si="15"/>
        <v>0</v>
      </c>
      <c r="E98">
        <f t="shared" si="12"/>
        <v>0</v>
      </c>
    </row>
    <row r="99" spans="1:5" x14ac:dyDescent="0.25">
      <c r="A99">
        <f t="shared" ref="A99:A159" si="16">A87*10</f>
        <v>27000000</v>
      </c>
      <c r="B99">
        <f t="shared" si="13"/>
        <v>0</v>
      </c>
      <c r="C99">
        <f t="shared" si="14"/>
        <v>0</v>
      </c>
      <c r="D99">
        <f t="shared" si="15"/>
        <v>0</v>
      </c>
      <c r="E99">
        <f t="shared" si="12"/>
        <v>0</v>
      </c>
    </row>
    <row r="100" spans="1:5" x14ac:dyDescent="0.25">
      <c r="A100">
        <f t="shared" si="16"/>
        <v>33000000</v>
      </c>
      <c r="B100">
        <f t="shared" si="13"/>
        <v>0</v>
      </c>
      <c r="C100">
        <f t="shared" si="14"/>
        <v>0</v>
      </c>
      <c r="D100">
        <f t="shared" si="15"/>
        <v>0</v>
      </c>
      <c r="E100">
        <f t="shared" si="12"/>
        <v>0</v>
      </c>
    </row>
    <row r="101" spans="1:5" x14ac:dyDescent="0.25">
      <c r="A101">
        <f t="shared" si="16"/>
        <v>39000000</v>
      </c>
      <c r="B101">
        <f t="shared" si="13"/>
        <v>0</v>
      </c>
      <c r="C101">
        <f t="shared" si="14"/>
        <v>0</v>
      </c>
      <c r="D101">
        <f t="shared" si="15"/>
        <v>0</v>
      </c>
      <c r="E101">
        <f t="shared" si="12"/>
        <v>0</v>
      </c>
    </row>
    <row r="102" spans="1:5" x14ac:dyDescent="0.25">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5">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5">
      <c r="A104">
        <f t="shared" si="16"/>
        <v>68000000</v>
      </c>
      <c r="B104">
        <f t="shared" si="13"/>
        <v>0</v>
      </c>
      <c r="C104">
        <f t="shared" si="14"/>
        <v>0</v>
      </c>
      <c r="D104">
        <f t="shared" si="18"/>
        <v>0</v>
      </c>
      <c r="E104">
        <f t="shared" si="17"/>
        <v>0</v>
      </c>
    </row>
    <row r="105" spans="1:5" x14ac:dyDescent="0.25">
      <c r="A105">
        <f t="shared" si="16"/>
        <v>82000000</v>
      </c>
      <c r="B105">
        <f t="shared" si="13"/>
        <v>0</v>
      </c>
      <c r="C105">
        <f t="shared" si="14"/>
        <v>0</v>
      </c>
      <c r="D105">
        <f t="shared" si="18"/>
        <v>0</v>
      </c>
      <c r="E105">
        <f t="shared" si="17"/>
        <v>0</v>
      </c>
    </row>
    <row r="106" spans="1:5" x14ac:dyDescent="0.25">
      <c r="A106">
        <f t="shared" si="16"/>
        <v>100000000</v>
      </c>
      <c r="B106">
        <f t="shared" si="13"/>
        <v>0</v>
      </c>
      <c r="C106">
        <f t="shared" si="14"/>
        <v>0</v>
      </c>
      <c r="D106">
        <f t="shared" si="18"/>
        <v>0</v>
      </c>
      <c r="E106">
        <f t="shared" si="17"/>
        <v>0</v>
      </c>
    </row>
    <row r="107" spans="1:5" x14ac:dyDescent="0.25">
      <c r="A107">
        <f t="shared" si="16"/>
        <v>120000000</v>
      </c>
      <c r="B107">
        <f t="shared" si="13"/>
        <v>0</v>
      </c>
      <c r="C107">
        <f t="shared" si="14"/>
        <v>0</v>
      </c>
      <c r="D107">
        <f t="shared" si="18"/>
        <v>0</v>
      </c>
      <c r="E107">
        <f t="shared" si="17"/>
        <v>0</v>
      </c>
    </row>
    <row r="108" spans="1:5" x14ac:dyDescent="0.25">
      <c r="A108">
        <f t="shared" si="16"/>
        <v>150000000</v>
      </c>
      <c r="B108">
        <f t="shared" si="13"/>
        <v>0</v>
      </c>
      <c r="C108">
        <f t="shared" si="14"/>
        <v>0</v>
      </c>
      <c r="D108">
        <f t="shared" si="18"/>
        <v>0</v>
      </c>
      <c r="E108">
        <f t="shared" si="17"/>
        <v>0</v>
      </c>
    </row>
    <row r="109" spans="1:5" x14ac:dyDescent="0.25">
      <c r="A109">
        <f t="shared" si="16"/>
        <v>180000000</v>
      </c>
      <c r="B109">
        <f t="shared" si="13"/>
        <v>0</v>
      </c>
      <c r="C109">
        <f t="shared" si="14"/>
        <v>0</v>
      </c>
      <c r="D109">
        <f t="shared" si="18"/>
        <v>0</v>
      </c>
      <c r="E109">
        <f t="shared" si="17"/>
        <v>0</v>
      </c>
    </row>
    <row r="110" spans="1:5" x14ac:dyDescent="0.25">
      <c r="A110">
        <f t="shared" si="16"/>
        <v>220000000</v>
      </c>
      <c r="B110">
        <f t="shared" si="13"/>
        <v>0</v>
      </c>
      <c r="C110">
        <f t="shared" si="14"/>
        <v>0</v>
      </c>
      <c r="D110">
        <f t="shared" si="18"/>
        <v>0</v>
      </c>
      <c r="E110">
        <f t="shared" si="17"/>
        <v>0</v>
      </c>
    </row>
    <row r="111" spans="1:5" x14ac:dyDescent="0.25">
      <c r="A111">
        <f t="shared" si="16"/>
        <v>270000000</v>
      </c>
      <c r="B111">
        <f t="shared" si="13"/>
        <v>0</v>
      </c>
      <c r="C111">
        <f t="shared" si="14"/>
        <v>0</v>
      </c>
      <c r="D111">
        <f t="shared" si="18"/>
        <v>0</v>
      </c>
      <c r="E111">
        <f t="shared" si="17"/>
        <v>0</v>
      </c>
    </row>
    <row r="112" spans="1:5" x14ac:dyDescent="0.25">
      <c r="A112">
        <f t="shared" si="16"/>
        <v>330000000</v>
      </c>
      <c r="B112">
        <f t="shared" si="13"/>
        <v>0</v>
      </c>
      <c r="C112">
        <f t="shared" si="14"/>
        <v>0</v>
      </c>
      <c r="D112">
        <f t="shared" si="18"/>
        <v>0</v>
      </c>
      <c r="E112">
        <f t="shared" si="17"/>
        <v>0</v>
      </c>
    </row>
    <row r="113" spans="1:5" x14ac:dyDescent="0.25">
      <c r="A113">
        <f t="shared" si="16"/>
        <v>390000000</v>
      </c>
      <c r="B113">
        <f t="shared" si="13"/>
        <v>0</v>
      </c>
      <c r="C113">
        <f t="shared" si="14"/>
        <v>0</v>
      </c>
      <c r="D113">
        <f t="shared" si="18"/>
        <v>0</v>
      </c>
      <c r="E113">
        <f t="shared" si="17"/>
        <v>0</v>
      </c>
    </row>
    <row r="114" spans="1:5" x14ac:dyDescent="0.25">
      <c r="A114">
        <f t="shared" si="16"/>
        <v>470000000</v>
      </c>
      <c r="B114">
        <f t="shared" si="13"/>
        <v>0</v>
      </c>
      <c r="C114">
        <f t="shared" si="14"/>
        <v>0</v>
      </c>
      <c r="D114">
        <f t="shared" si="18"/>
        <v>0</v>
      </c>
      <c r="E114">
        <f t="shared" si="17"/>
        <v>0</v>
      </c>
    </row>
    <row r="115" spans="1:5" x14ac:dyDescent="0.25">
      <c r="A115">
        <f t="shared" si="16"/>
        <v>560000000</v>
      </c>
      <c r="B115">
        <f t="shared" si="13"/>
        <v>0</v>
      </c>
      <c r="C115">
        <f t="shared" si="14"/>
        <v>0</v>
      </c>
      <c r="D115">
        <f t="shared" si="18"/>
        <v>0</v>
      </c>
      <c r="E115">
        <f t="shared" si="17"/>
        <v>0</v>
      </c>
    </row>
    <row r="116" spans="1:5" x14ac:dyDescent="0.25">
      <c r="A116">
        <f t="shared" si="16"/>
        <v>680000000</v>
      </c>
      <c r="B116">
        <f t="shared" si="13"/>
        <v>0</v>
      </c>
      <c r="C116">
        <f t="shared" si="14"/>
        <v>0</v>
      </c>
      <c r="D116">
        <f t="shared" si="18"/>
        <v>0</v>
      </c>
      <c r="E116">
        <f t="shared" si="17"/>
        <v>0</v>
      </c>
    </row>
    <row r="117" spans="1:5" x14ac:dyDescent="0.25">
      <c r="A117">
        <f t="shared" si="16"/>
        <v>820000000</v>
      </c>
      <c r="B117">
        <f t="shared" si="13"/>
        <v>0</v>
      </c>
      <c r="C117">
        <f t="shared" si="14"/>
        <v>0</v>
      </c>
      <c r="D117">
        <f t="shared" si="18"/>
        <v>0</v>
      </c>
      <c r="E117">
        <f t="shared" si="17"/>
        <v>0</v>
      </c>
    </row>
    <row r="118" spans="1:5" x14ac:dyDescent="0.25">
      <c r="A118">
        <f t="shared" si="16"/>
        <v>1000000000</v>
      </c>
      <c r="B118">
        <f t="shared" si="13"/>
        <v>0</v>
      </c>
      <c r="C118">
        <f t="shared" si="14"/>
        <v>0</v>
      </c>
      <c r="D118">
        <f t="shared" si="18"/>
        <v>0</v>
      </c>
      <c r="E118">
        <f t="shared" si="17"/>
        <v>0</v>
      </c>
    </row>
    <row r="119" spans="1:5" x14ac:dyDescent="0.25">
      <c r="A119">
        <f t="shared" si="16"/>
        <v>1200000000</v>
      </c>
      <c r="B119">
        <f t="shared" si="13"/>
        <v>0</v>
      </c>
      <c r="C119">
        <f t="shared" si="14"/>
        <v>0</v>
      </c>
      <c r="D119">
        <f t="shared" si="18"/>
        <v>0</v>
      </c>
      <c r="E119">
        <f t="shared" si="17"/>
        <v>0</v>
      </c>
    </row>
    <row r="120" spans="1:5" x14ac:dyDescent="0.25">
      <c r="A120">
        <f t="shared" si="16"/>
        <v>1500000000</v>
      </c>
      <c r="B120">
        <f t="shared" si="13"/>
        <v>0</v>
      </c>
      <c r="C120">
        <f t="shared" si="14"/>
        <v>0</v>
      </c>
      <c r="D120">
        <f t="shared" si="18"/>
        <v>0</v>
      </c>
      <c r="E120">
        <f t="shared" si="17"/>
        <v>0</v>
      </c>
    </row>
    <row r="121" spans="1:5" x14ac:dyDescent="0.25">
      <c r="A121">
        <f t="shared" si="16"/>
        <v>1800000000</v>
      </c>
      <c r="B121">
        <f t="shared" si="13"/>
        <v>0</v>
      </c>
      <c r="C121">
        <f t="shared" si="14"/>
        <v>0</v>
      </c>
      <c r="D121">
        <f t="shared" si="18"/>
        <v>0</v>
      </c>
      <c r="E121">
        <f t="shared" si="17"/>
        <v>0</v>
      </c>
    </row>
    <row r="122" spans="1:5" x14ac:dyDescent="0.25">
      <c r="A122">
        <f t="shared" si="16"/>
        <v>2200000000</v>
      </c>
      <c r="B122">
        <f t="shared" si="13"/>
        <v>0</v>
      </c>
      <c r="C122">
        <f t="shared" si="14"/>
        <v>0</v>
      </c>
      <c r="D122">
        <f t="shared" si="18"/>
        <v>0</v>
      </c>
      <c r="E122">
        <f t="shared" si="17"/>
        <v>0</v>
      </c>
    </row>
    <row r="123" spans="1:5" x14ac:dyDescent="0.25">
      <c r="A123">
        <f t="shared" si="16"/>
        <v>2700000000</v>
      </c>
      <c r="B123">
        <f t="shared" si="13"/>
        <v>0</v>
      </c>
      <c r="C123">
        <f t="shared" si="14"/>
        <v>0</v>
      </c>
      <c r="D123">
        <f t="shared" si="18"/>
        <v>0</v>
      </c>
      <c r="E123">
        <f t="shared" si="17"/>
        <v>0</v>
      </c>
    </row>
    <row r="124" spans="1:5" x14ac:dyDescent="0.25">
      <c r="A124">
        <f t="shared" si="16"/>
        <v>3300000000</v>
      </c>
      <c r="B124">
        <f t="shared" si="13"/>
        <v>0</v>
      </c>
      <c r="C124">
        <f t="shared" si="14"/>
        <v>0</v>
      </c>
      <c r="D124">
        <f t="shared" si="18"/>
        <v>0</v>
      </c>
      <c r="E124">
        <f t="shared" si="17"/>
        <v>0</v>
      </c>
    </row>
    <row r="125" spans="1:5" x14ac:dyDescent="0.25">
      <c r="A125">
        <f t="shared" si="16"/>
        <v>3900000000</v>
      </c>
      <c r="B125">
        <f t="shared" si="13"/>
        <v>0</v>
      </c>
      <c r="C125">
        <f t="shared" si="14"/>
        <v>0</v>
      </c>
      <c r="D125">
        <f t="shared" si="18"/>
        <v>0</v>
      </c>
      <c r="E125">
        <f t="shared" si="17"/>
        <v>0</v>
      </c>
    </row>
    <row r="126" spans="1:5" x14ac:dyDescent="0.25">
      <c r="A126">
        <f t="shared" si="16"/>
        <v>4700000000</v>
      </c>
      <c r="B126">
        <f t="shared" si="13"/>
        <v>0</v>
      </c>
      <c r="C126">
        <f t="shared" si="14"/>
        <v>0</v>
      </c>
      <c r="D126">
        <f t="shared" si="18"/>
        <v>0</v>
      </c>
      <c r="E126">
        <f t="shared" si="17"/>
        <v>0</v>
      </c>
    </row>
    <row r="127" spans="1:5" x14ac:dyDescent="0.25">
      <c r="A127">
        <f t="shared" si="16"/>
        <v>5600000000</v>
      </c>
      <c r="B127">
        <f t="shared" si="13"/>
        <v>0</v>
      </c>
      <c r="C127">
        <f t="shared" si="14"/>
        <v>0</v>
      </c>
      <c r="D127">
        <f t="shared" si="18"/>
        <v>0</v>
      </c>
      <c r="E127">
        <f t="shared" si="17"/>
        <v>0</v>
      </c>
    </row>
    <row r="128" spans="1:5" x14ac:dyDescent="0.25">
      <c r="A128">
        <f t="shared" si="16"/>
        <v>6800000000</v>
      </c>
      <c r="B128">
        <f t="shared" si="13"/>
        <v>0</v>
      </c>
      <c r="C128">
        <f t="shared" si="14"/>
        <v>0</v>
      </c>
      <c r="D128">
        <f t="shared" si="18"/>
        <v>0</v>
      </c>
      <c r="E128">
        <f t="shared" si="17"/>
        <v>0</v>
      </c>
    </row>
    <row r="129" spans="1:5" x14ac:dyDescent="0.25">
      <c r="A129">
        <f t="shared" si="16"/>
        <v>8200000000</v>
      </c>
      <c r="B129">
        <f t="shared" si="13"/>
        <v>0</v>
      </c>
      <c r="C129">
        <f t="shared" si="14"/>
        <v>0</v>
      </c>
      <c r="D129">
        <f t="shared" si="18"/>
        <v>0</v>
      </c>
      <c r="E129">
        <f t="shared" si="17"/>
        <v>0</v>
      </c>
    </row>
    <row r="130" spans="1:5" x14ac:dyDescent="0.25">
      <c r="A130">
        <f t="shared" si="16"/>
        <v>10000000000</v>
      </c>
      <c r="B130">
        <f t="shared" si="13"/>
        <v>0</v>
      </c>
      <c r="C130">
        <f t="shared" si="14"/>
        <v>0</v>
      </c>
      <c r="D130">
        <f t="shared" si="18"/>
        <v>0</v>
      </c>
      <c r="E130">
        <f t="shared" si="17"/>
        <v>0</v>
      </c>
    </row>
    <row r="131" spans="1:5" x14ac:dyDescent="0.25">
      <c r="A131">
        <f t="shared" si="16"/>
        <v>12000000000</v>
      </c>
      <c r="B131">
        <f t="shared" si="13"/>
        <v>0</v>
      </c>
      <c r="C131">
        <f t="shared" si="14"/>
        <v>0</v>
      </c>
      <c r="D131">
        <f t="shared" si="18"/>
        <v>0</v>
      </c>
      <c r="E131">
        <f t="shared" si="17"/>
        <v>0</v>
      </c>
    </row>
    <row r="132" spans="1:5" x14ac:dyDescent="0.25">
      <c r="A132">
        <f t="shared" si="16"/>
        <v>15000000000</v>
      </c>
      <c r="B132">
        <f t="shared" si="13"/>
        <v>0</v>
      </c>
      <c r="C132">
        <f t="shared" si="14"/>
        <v>0</v>
      </c>
      <c r="D132">
        <f t="shared" si="18"/>
        <v>0</v>
      </c>
      <c r="E132">
        <f t="shared" si="17"/>
        <v>0</v>
      </c>
    </row>
    <row r="133" spans="1:5" x14ac:dyDescent="0.25">
      <c r="A133">
        <f t="shared" si="16"/>
        <v>18000000000</v>
      </c>
      <c r="B133">
        <f t="shared" si="13"/>
        <v>0</v>
      </c>
      <c r="C133">
        <f t="shared" si="14"/>
        <v>0</v>
      </c>
      <c r="D133">
        <f t="shared" si="18"/>
        <v>0</v>
      </c>
      <c r="E133">
        <f t="shared" si="17"/>
        <v>0</v>
      </c>
    </row>
    <row r="134" spans="1:5" x14ac:dyDescent="0.25">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5">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5">
      <c r="A136">
        <f t="shared" si="16"/>
        <v>33000000000</v>
      </c>
      <c r="B136">
        <f t="shared" si="21"/>
        <v>0</v>
      </c>
      <c r="C136">
        <f t="shared" si="19"/>
        <v>0</v>
      </c>
      <c r="D136">
        <f t="shared" si="19"/>
        <v>0</v>
      </c>
      <c r="E136">
        <f t="shared" si="20"/>
        <v>0</v>
      </c>
    </row>
    <row r="137" spans="1:5" x14ac:dyDescent="0.25">
      <c r="A137">
        <f t="shared" si="16"/>
        <v>39000000000</v>
      </c>
      <c r="B137">
        <f t="shared" si="21"/>
        <v>0</v>
      </c>
      <c r="C137">
        <f t="shared" si="19"/>
        <v>0</v>
      </c>
      <c r="D137">
        <f t="shared" si="19"/>
        <v>0</v>
      </c>
      <c r="E137">
        <f t="shared" si="20"/>
        <v>0</v>
      </c>
    </row>
    <row r="138" spans="1:5" x14ac:dyDescent="0.25">
      <c r="A138">
        <f t="shared" si="16"/>
        <v>47000000000</v>
      </c>
      <c r="B138">
        <f t="shared" si="21"/>
        <v>0</v>
      </c>
      <c r="C138">
        <f t="shared" si="19"/>
        <v>0</v>
      </c>
      <c r="D138">
        <f t="shared" si="19"/>
        <v>0</v>
      </c>
      <c r="E138">
        <f t="shared" si="20"/>
        <v>0</v>
      </c>
    </row>
    <row r="139" spans="1:5" x14ac:dyDescent="0.25">
      <c r="A139">
        <f t="shared" si="16"/>
        <v>56000000000</v>
      </c>
      <c r="B139">
        <f t="shared" si="21"/>
        <v>0</v>
      </c>
      <c r="C139">
        <f t="shared" si="19"/>
        <v>0</v>
      </c>
      <c r="D139">
        <f t="shared" si="19"/>
        <v>0</v>
      </c>
      <c r="E139">
        <f t="shared" si="20"/>
        <v>0</v>
      </c>
    </row>
    <row r="140" spans="1:5" x14ac:dyDescent="0.25">
      <c r="A140">
        <f t="shared" si="16"/>
        <v>68000000000</v>
      </c>
      <c r="B140">
        <f t="shared" si="21"/>
        <v>0</v>
      </c>
      <c r="C140">
        <f t="shared" si="19"/>
        <v>0</v>
      </c>
      <c r="D140">
        <f t="shared" si="19"/>
        <v>0</v>
      </c>
      <c r="E140">
        <f t="shared" si="20"/>
        <v>0</v>
      </c>
    </row>
    <row r="141" spans="1:5" x14ac:dyDescent="0.25">
      <c r="A141">
        <f t="shared" si="16"/>
        <v>82000000000</v>
      </c>
      <c r="B141">
        <f t="shared" si="21"/>
        <v>0</v>
      </c>
      <c r="C141">
        <f t="shared" si="19"/>
        <v>0</v>
      </c>
      <c r="D141">
        <f t="shared" si="19"/>
        <v>0</v>
      </c>
      <c r="E141">
        <f t="shared" si="20"/>
        <v>0</v>
      </c>
    </row>
    <row r="142" spans="1:5" x14ac:dyDescent="0.25">
      <c r="A142">
        <f t="shared" si="16"/>
        <v>100000000000</v>
      </c>
      <c r="B142">
        <f t="shared" si="21"/>
        <v>0</v>
      </c>
      <c r="C142">
        <f t="shared" si="19"/>
        <v>0</v>
      </c>
      <c r="D142">
        <f t="shared" si="19"/>
        <v>0</v>
      </c>
      <c r="E142">
        <f t="shared" si="20"/>
        <v>0</v>
      </c>
    </row>
    <row r="143" spans="1:5" x14ac:dyDescent="0.25">
      <c r="A143">
        <f t="shared" si="16"/>
        <v>120000000000</v>
      </c>
      <c r="B143">
        <f t="shared" si="21"/>
        <v>0</v>
      </c>
      <c r="C143">
        <f t="shared" si="19"/>
        <v>0</v>
      </c>
      <c r="D143">
        <f t="shared" si="19"/>
        <v>0</v>
      </c>
      <c r="E143">
        <f t="shared" si="20"/>
        <v>0</v>
      </c>
    </row>
    <row r="144" spans="1:5" x14ac:dyDescent="0.25">
      <c r="A144">
        <f t="shared" si="16"/>
        <v>150000000000</v>
      </c>
      <c r="B144">
        <f t="shared" si="21"/>
        <v>0</v>
      </c>
      <c r="C144">
        <f t="shared" si="19"/>
        <v>0</v>
      </c>
      <c r="D144">
        <f t="shared" si="19"/>
        <v>0</v>
      </c>
      <c r="E144">
        <f t="shared" si="20"/>
        <v>0</v>
      </c>
    </row>
    <row r="145" spans="1:5" x14ac:dyDescent="0.25">
      <c r="A145">
        <f t="shared" si="16"/>
        <v>180000000000</v>
      </c>
      <c r="B145">
        <f t="shared" si="21"/>
        <v>0</v>
      </c>
      <c r="C145">
        <f t="shared" si="19"/>
        <v>0</v>
      </c>
      <c r="D145">
        <f t="shared" si="19"/>
        <v>0</v>
      </c>
      <c r="E145">
        <f t="shared" si="20"/>
        <v>0</v>
      </c>
    </row>
    <row r="146" spans="1:5" x14ac:dyDescent="0.25">
      <c r="A146">
        <f t="shared" si="16"/>
        <v>220000000000</v>
      </c>
      <c r="B146">
        <f t="shared" si="21"/>
        <v>0</v>
      </c>
      <c r="C146">
        <f t="shared" si="19"/>
        <v>0</v>
      </c>
      <c r="D146">
        <f t="shared" si="19"/>
        <v>0</v>
      </c>
      <c r="E146">
        <f t="shared" si="20"/>
        <v>0</v>
      </c>
    </row>
    <row r="147" spans="1:5" x14ac:dyDescent="0.25">
      <c r="A147">
        <f t="shared" si="16"/>
        <v>270000000000</v>
      </c>
      <c r="B147">
        <f t="shared" si="21"/>
        <v>0</v>
      </c>
      <c r="C147">
        <f t="shared" si="19"/>
        <v>0</v>
      </c>
      <c r="D147">
        <f t="shared" si="19"/>
        <v>0</v>
      </c>
      <c r="E147">
        <f t="shared" si="20"/>
        <v>0</v>
      </c>
    </row>
    <row r="148" spans="1:5" x14ac:dyDescent="0.25">
      <c r="A148">
        <f t="shared" si="16"/>
        <v>330000000000</v>
      </c>
      <c r="B148">
        <f t="shared" si="21"/>
        <v>0</v>
      </c>
      <c r="C148">
        <f t="shared" si="19"/>
        <v>0</v>
      </c>
      <c r="D148">
        <f t="shared" si="19"/>
        <v>0</v>
      </c>
      <c r="E148">
        <f t="shared" si="20"/>
        <v>0</v>
      </c>
    </row>
    <row r="149" spans="1:5" x14ac:dyDescent="0.25">
      <c r="A149">
        <f t="shared" si="16"/>
        <v>390000000000</v>
      </c>
      <c r="B149">
        <f t="shared" si="21"/>
        <v>0</v>
      </c>
      <c r="C149">
        <f t="shared" si="19"/>
        <v>0</v>
      </c>
      <c r="D149">
        <f t="shared" si="19"/>
        <v>0</v>
      </c>
      <c r="E149">
        <f t="shared" si="20"/>
        <v>0</v>
      </c>
    </row>
    <row r="150" spans="1:5" x14ac:dyDescent="0.25">
      <c r="A150">
        <f t="shared" si="16"/>
        <v>470000000000</v>
      </c>
      <c r="B150">
        <f t="shared" si="21"/>
        <v>0</v>
      </c>
      <c r="C150">
        <f t="shared" si="19"/>
        <v>0</v>
      </c>
      <c r="D150">
        <f t="shared" si="19"/>
        <v>0</v>
      </c>
      <c r="E150">
        <f t="shared" si="20"/>
        <v>0</v>
      </c>
    </row>
    <row r="151" spans="1:5" x14ac:dyDescent="0.25">
      <c r="A151">
        <f t="shared" si="16"/>
        <v>560000000000</v>
      </c>
      <c r="B151">
        <f t="shared" si="21"/>
        <v>0</v>
      </c>
      <c r="C151">
        <f t="shared" si="19"/>
        <v>0</v>
      </c>
      <c r="D151">
        <f t="shared" si="19"/>
        <v>0</v>
      </c>
      <c r="E151">
        <f t="shared" si="20"/>
        <v>0</v>
      </c>
    </row>
    <row r="152" spans="1:5" x14ac:dyDescent="0.25">
      <c r="A152">
        <f t="shared" si="16"/>
        <v>680000000000</v>
      </c>
      <c r="B152">
        <f t="shared" si="21"/>
        <v>0</v>
      </c>
      <c r="C152">
        <f t="shared" si="19"/>
        <v>0</v>
      </c>
      <c r="D152">
        <f t="shared" si="19"/>
        <v>0</v>
      </c>
      <c r="E152">
        <f t="shared" si="20"/>
        <v>0</v>
      </c>
    </row>
    <row r="153" spans="1:5" x14ac:dyDescent="0.25">
      <c r="A153">
        <f t="shared" si="16"/>
        <v>820000000000</v>
      </c>
      <c r="B153">
        <f t="shared" si="21"/>
        <v>0</v>
      </c>
      <c r="C153">
        <f t="shared" si="19"/>
        <v>0</v>
      </c>
      <c r="D153">
        <f t="shared" si="19"/>
        <v>0</v>
      </c>
      <c r="E153">
        <f t="shared" si="20"/>
        <v>0</v>
      </c>
    </row>
    <row r="154" spans="1:5" x14ac:dyDescent="0.25">
      <c r="A154">
        <f t="shared" si="16"/>
        <v>1000000000000</v>
      </c>
      <c r="B154">
        <f t="shared" si="21"/>
        <v>0</v>
      </c>
      <c r="C154">
        <f t="shared" si="19"/>
        <v>0</v>
      </c>
      <c r="D154">
        <f t="shared" si="19"/>
        <v>0</v>
      </c>
      <c r="E154">
        <f t="shared" si="20"/>
        <v>0</v>
      </c>
    </row>
    <row r="155" spans="1:5" x14ac:dyDescent="0.25">
      <c r="A155">
        <f t="shared" si="16"/>
        <v>1200000000000</v>
      </c>
      <c r="B155">
        <f t="shared" si="21"/>
        <v>0</v>
      </c>
      <c r="C155">
        <f t="shared" si="19"/>
        <v>0</v>
      </c>
      <c r="D155">
        <f t="shared" si="19"/>
        <v>0</v>
      </c>
      <c r="E155">
        <f t="shared" si="20"/>
        <v>0</v>
      </c>
    </row>
    <row r="156" spans="1:5" x14ac:dyDescent="0.25">
      <c r="A156">
        <f t="shared" si="16"/>
        <v>1500000000000</v>
      </c>
      <c r="B156">
        <f t="shared" si="21"/>
        <v>0</v>
      </c>
      <c r="C156">
        <f t="shared" si="19"/>
        <v>0</v>
      </c>
      <c r="D156">
        <f t="shared" si="19"/>
        <v>0</v>
      </c>
      <c r="E156">
        <f t="shared" si="20"/>
        <v>0</v>
      </c>
    </row>
    <row r="157" spans="1:5" x14ac:dyDescent="0.25">
      <c r="A157">
        <f t="shared" si="16"/>
        <v>1800000000000</v>
      </c>
      <c r="B157">
        <f t="shared" si="21"/>
        <v>0</v>
      </c>
      <c r="C157">
        <f t="shared" si="19"/>
        <v>0</v>
      </c>
      <c r="D157">
        <f t="shared" si="19"/>
        <v>0</v>
      </c>
      <c r="E157">
        <f t="shared" si="20"/>
        <v>0</v>
      </c>
    </row>
    <row r="158" spans="1:5" x14ac:dyDescent="0.25">
      <c r="A158">
        <f t="shared" si="16"/>
        <v>2200000000000</v>
      </c>
      <c r="B158">
        <f t="shared" si="21"/>
        <v>0</v>
      </c>
      <c r="C158">
        <f t="shared" si="19"/>
        <v>0</v>
      </c>
      <c r="D158">
        <f t="shared" si="19"/>
        <v>0</v>
      </c>
      <c r="E158">
        <f t="shared" si="20"/>
        <v>0</v>
      </c>
    </row>
    <row r="159" spans="1:5" x14ac:dyDescent="0.25">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zoomScale="80" zoomScaleNormal="80" workbookViewId="0">
      <selection activeCell="Q30" sqref="Q30"/>
    </sheetView>
  </sheetViews>
  <sheetFormatPr defaultRowHeight="13.2" x14ac:dyDescent="0.25"/>
  <cols>
    <col min="1" max="1" width="9.5546875" style="92" customWidth="1"/>
    <col min="2" max="2" width="11.44140625" style="92" customWidth="1"/>
    <col min="3" max="3" width="13.44140625" style="92" customWidth="1"/>
    <col min="4" max="4" width="20.33203125" style="92" customWidth="1"/>
    <col min="5" max="5" width="17.33203125" style="92" customWidth="1"/>
    <col min="6" max="6" width="13.5546875" style="92" customWidth="1"/>
    <col min="7" max="7" width="16.33203125" style="92" customWidth="1"/>
    <col min="8" max="8" width="18.33203125" style="92" customWidth="1"/>
    <col min="9" max="9" width="10.6640625" style="92" customWidth="1"/>
    <col min="10" max="10" width="15.6640625" style="92" customWidth="1"/>
    <col min="11" max="11" width="11.6640625" style="401" customWidth="1"/>
    <col min="12" max="12" width="7.6640625" style="400" customWidth="1"/>
    <col min="13" max="13" width="11.6640625" style="92" customWidth="1"/>
    <col min="14" max="254" width="9.33203125" style="92"/>
    <col min="255" max="255" width="8.6640625" style="92" bestFit="1" customWidth="1"/>
    <col min="256" max="256" width="13.33203125" style="92" customWidth="1"/>
    <col min="257" max="257" width="16.33203125" style="92" bestFit="1" customWidth="1"/>
    <col min="258" max="258" width="23.5546875" style="92" customWidth="1"/>
    <col min="259" max="259" width="17.33203125" style="92" customWidth="1"/>
    <col min="260" max="260" width="20.5546875" style="92" bestFit="1" customWidth="1"/>
    <col min="261" max="261" width="17.33203125" style="92" customWidth="1"/>
    <col min="262" max="262" width="21.6640625" style="92" bestFit="1" customWidth="1"/>
    <col min="263" max="263" width="17.33203125" style="92" bestFit="1" customWidth="1"/>
    <col min="264" max="264" width="18.33203125" style="92" bestFit="1" customWidth="1"/>
    <col min="265" max="265" width="26.44140625" style="92" customWidth="1"/>
    <col min="266" max="510" width="9.33203125" style="92"/>
    <col min="511" max="511" width="8.6640625" style="92" bestFit="1" customWidth="1"/>
    <col min="512" max="512" width="13.33203125" style="92" customWidth="1"/>
    <col min="513" max="513" width="16.33203125" style="92" bestFit="1" customWidth="1"/>
    <col min="514" max="514" width="23.5546875" style="92" customWidth="1"/>
    <col min="515" max="515" width="17.33203125" style="92" customWidth="1"/>
    <col min="516" max="516" width="20.5546875" style="92" bestFit="1" customWidth="1"/>
    <col min="517" max="517" width="17.33203125" style="92" customWidth="1"/>
    <col min="518" max="518" width="21.6640625" style="92" bestFit="1" customWidth="1"/>
    <col min="519" max="519" width="17.33203125" style="92" bestFit="1" customWidth="1"/>
    <col min="520" max="520" width="18.33203125" style="92" bestFit="1" customWidth="1"/>
    <col min="521" max="521" width="26.44140625" style="92" customWidth="1"/>
    <col min="522" max="766" width="9.33203125" style="92"/>
    <col min="767" max="767" width="8.6640625" style="92" bestFit="1" customWidth="1"/>
    <col min="768" max="768" width="13.33203125" style="92" customWidth="1"/>
    <col min="769" max="769" width="16.33203125" style="92" bestFit="1" customWidth="1"/>
    <col min="770" max="770" width="23.5546875" style="92" customWidth="1"/>
    <col min="771" max="771" width="17.33203125" style="92" customWidth="1"/>
    <col min="772" max="772" width="20.5546875" style="92" bestFit="1" customWidth="1"/>
    <col min="773" max="773" width="17.33203125" style="92" customWidth="1"/>
    <col min="774" max="774" width="21.6640625" style="92" bestFit="1" customWidth="1"/>
    <col min="775" max="775" width="17.33203125" style="92" bestFit="1" customWidth="1"/>
    <col min="776" max="776" width="18.33203125" style="92" bestFit="1" customWidth="1"/>
    <col min="777" max="777" width="26.44140625" style="92" customWidth="1"/>
    <col min="778" max="1022" width="9.33203125" style="92"/>
    <col min="1023" max="1023" width="8.6640625" style="92" bestFit="1" customWidth="1"/>
    <col min="1024" max="1024" width="13.33203125" style="92" customWidth="1"/>
    <col min="1025" max="1025" width="16.33203125" style="92" bestFit="1" customWidth="1"/>
    <col min="1026" max="1026" width="23.5546875" style="92" customWidth="1"/>
    <col min="1027" max="1027" width="17.33203125" style="92" customWidth="1"/>
    <col min="1028" max="1028" width="20.5546875" style="92" bestFit="1" customWidth="1"/>
    <col min="1029" max="1029" width="17.33203125" style="92" customWidth="1"/>
    <col min="1030" max="1030" width="21.6640625" style="92" bestFit="1" customWidth="1"/>
    <col min="1031" max="1031" width="17.33203125" style="92" bestFit="1" customWidth="1"/>
    <col min="1032" max="1032" width="18.33203125" style="92" bestFit="1" customWidth="1"/>
    <col min="1033" max="1033" width="26.44140625" style="92" customWidth="1"/>
    <col min="1034" max="1278" width="9.33203125" style="92"/>
    <col min="1279" max="1279" width="8.6640625" style="92" bestFit="1" customWidth="1"/>
    <col min="1280" max="1280" width="13.33203125" style="92" customWidth="1"/>
    <col min="1281" max="1281" width="16.33203125" style="92" bestFit="1" customWidth="1"/>
    <col min="1282" max="1282" width="23.5546875" style="92" customWidth="1"/>
    <col min="1283" max="1283" width="17.33203125" style="92" customWidth="1"/>
    <col min="1284" max="1284" width="20.5546875" style="92" bestFit="1" customWidth="1"/>
    <col min="1285" max="1285" width="17.33203125" style="92" customWidth="1"/>
    <col min="1286" max="1286" width="21.6640625" style="92" bestFit="1" customWidth="1"/>
    <col min="1287" max="1287" width="17.33203125" style="92" bestFit="1" customWidth="1"/>
    <col min="1288" max="1288" width="18.33203125" style="92" bestFit="1" customWidth="1"/>
    <col min="1289" max="1289" width="26.44140625" style="92" customWidth="1"/>
    <col min="1290" max="1534" width="9.33203125" style="92"/>
    <col min="1535" max="1535" width="8.6640625" style="92" bestFit="1" customWidth="1"/>
    <col min="1536" max="1536" width="13.33203125" style="92" customWidth="1"/>
    <col min="1537" max="1537" width="16.33203125" style="92" bestFit="1" customWidth="1"/>
    <col min="1538" max="1538" width="23.5546875" style="92" customWidth="1"/>
    <col min="1539" max="1539" width="17.33203125" style="92" customWidth="1"/>
    <col min="1540" max="1540" width="20.5546875" style="92" bestFit="1" customWidth="1"/>
    <col min="1541" max="1541" width="17.33203125" style="92" customWidth="1"/>
    <col min="1542" max="1542" width="21.6640625" style="92" bestFit="1" customWidth="1"/>
    <col min="1543" max="1543" width="17.33203125" style="92" bestFit="1" customWidth="1"/>
    <col min="1544" max="1544" width="18.33203125" style="92" bestFit="1" customWidth="1"/>
    <col min="1545" max="1545" width="26.44140625" style="92" customWidth="1"/>
    <col min="1546" max="1790" width="9.33203125" style="92"/>
    <col min="1791" max="1791" width="8.6640625" style="92" bestFit="1" customWidth="1"/>
    <col min="1792" max="1792" width="13.33203125" style="92" customWidth="1"/>
    <col min="1793" max="1793" width="16.33203125" style="92" bestFit="1" customWidth="1"/>
    <col min="1794" max="1794" width="23.5546875" style="92" customWidth="1"/>
    <col min="1795" max="1795" width="17.33203125" style="92" customWidth="1"/>
    <col min="1796" max="1796" width="20.5546875" style="92" bestFit="1" customWidth="1"/>
    <col min="1797" max="1797" width="17.33203125" style="92" customWidth="1"/>
    <col min="1798" max="1798" width="21.6640625" style="92" bestFit="1" customWidth="1"/>
    <col min="1799" max="1799" width="17.33203125" style="92" bestFit="1" customWidth="1"/>
    <col min="1800" max="1800" width="18.33203125" style="92" bestFit="1" customWidth="1"/>
    <col min="1801" max="1801" width="26.44140625" style="92" customWidth="1"/>
    <col min="1802" max="2046" width="9.33203125" style="92"/>
    <col min="2047" max="2047" width="8.6640625" style="92" bestFit="1" customWidth="1"/>
    <col min="2048" max="2048" width="13.33203125" style="92" customWidth="1"/>
    <col min="2049" max="2049" width="16.33203125" style="92" bestFit="1" customWidth="1"/>
    <col min="2050" max="2050" width="23.5546875" style="92" customWidth="1"/>
    <col min="2051" max="2051" width="17.33203125" style="92" customWidth="1"/>
    <col min="2052" max="2052" width="20.5546875" style="92" bestFit="1" customWidth="1"/>
    <col min="2053" max="2053" width="17.33203125" style="92" customWidth="1"/>
    <col min="2054" max="2054" width="21.6640625" style="92" bestFit="1" customWidth="1"/>
    <col min="2055" max="2055" width="17.33203125" style="92" bestFit="1" customWidth="1"/>
    <col min="2056" max="2056" width="18.33203125" style="92" bestFit="1" customWidth="1"/>
    <col min="2057" max="2057" width="26.44140625" style="92" customWidth="1"/>
    <col min="2058" max="2302" width="9.33203125" style="92"/>
    <col min="2303" max="2303" width="8.6640625" style="92" bestFit="1" customWidth="1"/>
    <col min="2304" max="2304" width="13.33203125" style="92" customWidth="1"/>
    <col min="2305" max="2305" width="16.33203125" style="92" bestFit="1" customWidth="1"/>
    <col min="2306" max="2306" width="23.5546875" style="92" customWidth="1"/>
    <col min="2307" max="2307" width="17.33203125" style="92" customWidth="1"/>
    <col min="2308" max="2308" width="20.5546875" style="92" bestFit="1" customWidth="1"/>
    <col min="2309" max="2309" width="17.33203125" style="92" customWidth="1"/>
    <col min="2310" max="2310" width="21.6640625" style="92" bestFit="1" customWidth="1"/>
    <col min="2311" max="2311" width="17.33203125" style="92" bestFit="1" customWidth="1"/>
    <col min="2312" max="2312" width="18.33203125" style="92" bestFit="1" customWidth="1"/>
    <col min="2313" max="2313" width="26.44140625" style="92" customWidth="1"/>
    <col min="2314" max="2558" width="9.33203125" style="92"/>
    <col min="2559" max="2559" width="8.6640625" style="92" bestFit="1" customWidth="1"/>
    <col min="2560" max="2560" width="13.33203125" style="92" customWidth="1"/>
    <col min="2561" max="2561" width="16.33203125" style="92" bestFit="1" customWidth="1"/>
    <col min="2562" max="2562" width="23.5546875" style="92" customWidth="1"/>
    <col min="2563" max="2563" width="17.33203125" style="92" customWidth="1"/>
    <col min="2564" max="2564" width="20.5546875" style="92" bestFit="1" customWidth="1"/>
    <col min="2565" max="2565" width="17.33203125" style="92" customWidth="1"/>
    <col min="2566" max="2566" width="21.6640625" style="92" bestFit="1" customWidth="1"/>
    <col min="2567" max="2567" width="17.33203125" style="92" bestFit="1" customWidth="1"/>
    <col min="2568" max="2568" width="18.33203125" style="92" bestFit="1" customWidth="1"/>
    <col min="2569" max="2569" width="26.44140625" style="92" customWidth="1"/>
    <col min="2570" max="2814" width="9.33203125" style="92"/>
    <col min="2815" max="2815" width="8.6640625" style="92" bestFit="1" customWidth="1"/>
    <col min="2816" max="2816" width="13.33203125" style="92" customWidth="1"/>
    <col min="2817" max="2817" width="16.33203125" style="92" bestFit="1" customWidth="1"/>
    <col min="2818" max="2818" width="23.5546875" style="92" customWidth="1"/>
    <col min="2819" max="2819" width="17.33203125" style="92" customWidth="1"/>
    <col min="2820" max="2820" width="20.5546875" style="92" bestFit="1" customWidth="1"/>
    <col min="2821" max="2821" width="17.33203125" style="92" customWidth="1"/>
    <col min="2822" max="2822" width="21.6640625" style="92" bestFit="1" customWidth="1"/>
    <col min="2823" max="2823" width="17.33203125" style="92" bestFit="1" customWidth="1"/>
    <col min="2824" max="2824" width="18.33203125" style="92" bestFit="1" customWidth="1"/>
    <col min="2825" max="2825" width="26.44140625" style="92" customWidth="1"/>
    <col min="2826" max="3070" width="9.33203125" style="92"/>
    <col min="3071" max="3071" width="8.6640625" style="92" bestFit="1" customWidth="1"/>
    <col min="3072" max="3072" width="13.33203125" style="92" customWidth="1"/>
    <col min="3073" max="3073" width="16.33203125" style="92" bestFit="1" customWidth="1"/>
    <col min="3074" max="3074" width="23.5546875" style="92" customWidth="1"/>
    <col min="3075" max="3075" width="17.33203125" style="92" customWidth="1"/>
    <col min="3076" max="3076" width="20.5546875" style="92" bestFit="1" customWidth="1"/>
    <col min="3077" max="3077" width="17.33203125" style="92" customWidth="1"/>
    <col min="3078" max="3078" width="21.6640625" style="92" bestFit="1" customWidth="1"/>
    <col min="3079" max="3079" width="17.33203125" style="92" bestFit="1" customWidth="1"/>
    <col min="3080" max="3080" width="18.33203125" style="92" bestFit="1" customWidth="1"/>
    <col min="3081" max="3081" width="26.44140625" style="92" customWidth="1"/>
    <col min="3082" max="3326" width="9.33203125" style="92"/>
    <col min="3327" max="3327" width="8.6640625" style="92" bestFit="1" customWidth="1"/>
    <col min="3328" max="3328" width="13.33203125" style="92" customWidth="1"/>
    <col min="3329" max="3329" width="16.33203125" style="92" bestFit="1" customWidth="1"/>
    <col min="3330" max="3330" width="23.5546875" style="92" customWidth="1"/>
    <col min="3331" max="3331" width="17.33203125" style="92" customWidth="1"/>
    <col min="3332" max="3332" width="20.5546875" style="92" bestFit="1" customWidth="1"/>
    <col min="3333" max="3333" width="17.33203125" style="92" customWidth="1"/>
    <col min="3334" max="3334" width="21.6640625" style="92" bestFit="1" customWidth="1"/>
    <col min="3335" max="3335" width="17.33203125" style="92" bestFit="1" customWidth="1"/>
    <col min="3336" max="3336" width="18.33203125" style="92" bestFit="1" customWidth="1"/>
    <col min="3337" max="3337" width="26.44140625" style="92" customWidth="1"/>
    <col min="3338" max="3582" width="9.33203125" style="92"/>
    <col min="3583" max="3583" width="8.6640625" style="92" bestFit="1" customWidth="1"/>
    <col min="3584" max="3584" width="13.33203125" style="92" customWidth="1"/>
    <col min="3585" max="3585" width="16.33203125" style="92" bestFit="1" customWidth="1"/>
    <col min="3586" max="3586" width="23.5546875" style="92" customWidth="1"/>
    <col min="3587" max="3587" width="17.33203125" style="92" customWidth="1"/>
    <col min="3588" max="3588" width="20.5546875" style="92" bestFit="1" customWidth="1"/>
    <col min="3589" max="3589" width="17.33203125" style="92" customWidth="1"/>
    <col min="3590" max="3590" width="21.6640625" style="92" bestFit="1" customWidth="1"/>
    <col min="3591" max="3591" width="17.33203125" style="92" bestFit="1" customWidth="1"/>
    <col min="3592" max="3592" width="18.33203125" style="92" bestFit="1" customWidth="1"/>
    <col min="3593" max="3593" width="26.44140625" style="92" customWidth="1"/>
    <col min="3594" max="3838" width="9.33203125" style="92"/>
    <col min="3839" max="3839" width="8.6640625" style="92" bestFit="1" customWidth="1"/>
    <col min="3840" max="3840" width="13.33203125" style="92" customWidth="1"/>
    <col min="3841" max="3841" width="16.33203125" style="92" bestFit="1" customWidth="1"/>
    <col min="3842" max="3842" width="23.5546875" style="92" customWidth="1"/>
    <col min="3843" max="3843" width="17.33203125" style="92" customWidth="1"/>
    <col min="3844" max="3844" width="20.5546875" style="92" bestFit="1" customWidth="1"/>
    <col min="3845" max="3845" width="17.33203125" style="92" customWidth="1"/>
    <col min="3846" max="3846" width="21.6640625" style="92" bestFit="1" customWidth="1"/>
    <col min="3847" max="3847" width="17.33203125" style="92" bestFit="1" customWidth="1"/>
    <col min="3848" max="3848" width="18.33203125" style="92" bestFit="1" customWidth="1"/>
    <col min="3849" max="3849" width="26.44140625" style="92" customWidth="1"/>
    <col min="3850" max="4094" width="9.33203125" style="92"/>
    <col min="4095" max="4095" width="8.6640625" style="92" bestFit="1" customWidth="1"/>
    <col min="4096" max="4096" width="13.33203125" style="92" customWidth="1"/>
    <col min="4097" max="4097" width="16.33203125" style="92" bestFit="1" customWidth="1"/>
    <col min="4098" max="4098" width="23.5546875" style="92" customWidth="1"/>
    <col min="4099" max="4099" width="17.33203125" style="92" customWidth="1"/>
    <col min="4100" max="4100" width="20.5546875" style="92" bestFit="1" customWidth="1"/>
    <col min="4101" max="4101" width="17.33203125" style="92" customWidth="1"/>
    <col min="4102" max="4102" width="21.6640625" style="92" bestFit="1" customWidth="1"/>
    <col min="4103" max="4103" width="17.33203125" style="92" bestFit="1" customWidth="1"/>
    <col min="4104" max="4104" width="18.33203125" style="92" bestFit="1" customWidth="1"/>
    <col min="4105" max="4105" width="26.44140625" style="92" customWidth="1"/>
    <col min="4106" max="4350" width="9.33203125" style="92"/>
    <col min="4351" max="4351" width="8.6640625" style="92" bestFit="1" customWidth="1"/>
    <col min="4352" max="4352" width="13.33203125" style="92" customWidth="1"/>
    <col min="4353" max="4353" width="16.33203125" style="92" bestFit="1" customWidth="1"/>
    <col min="4354" max="4354" width="23.5546875" style="92" customWidth="1"/>
    <col min="4355" max="4355" width="17.33203125" style="92" customWidth="1"/>
    <col min="4356" max="4356" width="20.5546875" style="92" bestFit="1" customWidth="1"/>
    <col min="4357" max="4357" width="17.33203125" style="92" customWidth="1"/>
    <col min="4358" max="4358" width="21.6640625" style="92" bestFit="1" customWidth="1"/>
    <col min="4359" max="4359" width="17.33203125" style="92" bestFit="1" customWidth="1"/>
    <col min="4360" max="4360" width="18.33203125" style="92" bestFit="1" customWidth="1"/>
    <col min="4361" max="4361" width="26.44140625" style="92" customWidth="1"/>
    <col min="4362" max="4606" width="9.33203125" style="92"/>
    <col min="4607" max="4607" width="8.6640625" style="92" bestFit="1" customWidth="1"/>
    <col min="4608" max="4608" width="13.33203125" style="92" customWidth="1"/>
    <col min="4609" max="4609" width="16.33203125" style="92" bestFit="1" customWidth="1"/>
    <col min="4610" max="4610" width="23.5546875" style="92" customWidth="1"/>
    <col min="4611" max="4611" width="17.33203125" style="92" customWidth="1"/>
    <col min="4612" max="4612" width="20.5546875" style="92" bestFit="1" customWidth="1"/>
    <col min="4613" max="4613" width="17.33203125" style="92" customWidth="1"/>
    <col min="4614" max="4614" width="21.6640625" style="92" bestFit="1" customWidth="1"/>
    <col min="4615" max="4615" width="17.33203125" style="92" bestFit="1" customWidth="1"/>
    <col min="4616" max="4616" width="18.33203125" style="92" bestFit="1" customWidth="1"/>
    <col min="4617" max="4617" width="26.44140625" style="92" customWidth="1"/>
    <col min="4618" max="4862" width="9.33203125" style="92"/>
    <col min="4863" max="4863" width="8.6640625" style="92" bestFit="1" customWidth="1"/>
    <col min="4864" max="4864" width="13.33203125" style="92" customWidth="1"/>
    <col min="4865" max="4865" width="16.33203125" style="92" bestFit="1" customWidth="1"/>
    <col min="4866" max="4866" width="23.5546875" style="92" customWidth="1"/>
    <col min="4867" max="4867" width="17.33203125" style="92" customWidth="1"/>
    <col min="4868" max="4868" width="20.5546875" style="92" bestFit="1" customWidth="1"/>
    <col min="4869" max="4869" width="17.33203125" style="92" customWidth="1"/>
    <col min="4870" max="4870" width="21.6640625" style="92" bestFit="1" customWidth="1"/>
    <col min="4871" max="4871" width="17.33203125" style="92" bestFit="1" customWidth="1"/>
    <col min="4872" max="4872" width="18.33203125" style="92" bestFit="1" customWidth="1"/>
    <col min="4873" max="4873" width="26.44140625" style="92" customWidth="1"/>
    <col min="4874" max="5118" width="9.33203125" style="92"/>
    <col min="5119" max="5119" width="8.6640625" style="92" bestFit="1" customWidth="1"/>
    <col min="5120" max="5120" width="13.33203125" style="92" customWidth="1"/>
    <col min="5121" max="5121" width="16.33203125" style="92" bestFit="1" customWidth="1"/>
    <col min="5122" max="5122" width="23.5546875" style="92" customWidth="1"/>
    <col min="5123" max="5123" width="17.33203125" style="92" customWidth="1"/>
    <col min="5124" max="5124" width="20.5546875" style="92" bestFit="1" customWidth="1"/>
    <col min="5125" max="5125" width="17.33203125" style="92" customWidth="1"/>
    <col min="5126" max="5126" width="21.6640625" style="92" bestFit="1" customWidth="1"/>
    <col min="5127" max="5127" width="17.33203125" style="92" bestFit="1" customWidth="1"/>
    <col min="5128" max="5128" width="18.33203125" style="92" bestFit="1" customWidth="1"/>
    <col min="5129" max="5129" width="26.44140625" style="92" customWidth="1"/>
    <col min="5130" max="5374" width="9.33203125" style="92"/>
    <col min="5375" max="5375" width="8.6640625" style="92" bestFit="1" customWidth="1"/>
    <col min="5376" max="5376" width="13.33203125" style="92" customWidth="1"/>
    <col min="5377" max="5377" width="16.33203125" style="92" bestFit="1" customWidth="1"/>
    <col min="5378" max="5378" width="23.5546875" style="92" customWidth="1"/>
    <col min="5379" max="5379" width="17.33203125" style="92" customWidth="1"/>
    <col min="5380" max="5380" width="20.5546875" style="92" bestFit="1" customWidth="1"/>
    <col min="5381" max="5381" width="17.33203125" style="92" customWidth="1"/>
    <col min="5382" max="5382" width="21.6640625" style="92" bestFit="1" customWidth="1"/>
    <col min="5383" max="5383" width="17.33203125" style="92" bestFit="1" customWidth="1"/>
    <col min="5384" max="5384" width="18.33203125" style="92" bestFit="1" customWidth="1"/>
    <col min="5385" max="5385" width="26.44140625" style="92" customWidth="1"/>
    <col min="5386" max="5630" width="9.33203125" style="92"/>
    <col min="5631" max="5631" width="8.6640625" style="92" bestFit="1" customWidth="1"/>
    <col min="5632" max="5632" width="13.33203125" style="92" customWidth="1"/>
    <col min="5633" max="5633" width="16.33203125" style="92" bestFit="1" customWidth="1"/>
    <col min="5634" max="5634" width="23.5546875" style="92" customWidth="1"/>
    <col min="5635" max="5635" width="17.33203125" style="92" customWidth="1"/>
    <col min="5636" max="5636" width="20.5546875" style="92" bestFit="1" customWidth="1"/>
    <col min="5637" max="5637" width="17.33203125" style="92" customWidth="1"/>
    <col min="5638" max="5638" width="21.6640625" style="92" bestFit="1" customWidth="1"/>
    <col min="5639" max="5639" width="17.33203125" style="92" bestFit="1" customWidth="1"/>
    <col min="5640" max="5640" width="18.33203125" style="92" bestFit="1" customWidth="1"/>
    <col min="5641" max="5641" width="26.44140625" style="92" customWidth="1"/>
    <col min="5642" max="5886" width="9.33203125" style="92"/>
    <col min="5887" max="5887" width="8.6640625" style="92" bestFit="1" customWidth="1"/>
    <col min="5888" max="5888" width="13.33203125" style="92" customWidth="1"/>
    <col min="5889" max="5889" width="16.33203125" style="92" bestFit="1" customWidth="1"/>
    <col min="5890" max="5890" width="23.5546875" style="92" customWidth="1"/>
    <col min="5891" max="5891" width="17.33203125" style="92" customWidth="1"/>
    <col min="5892" max="5892" width="20.5546875" style="92" bestFit="1" customWidth="1"/>
    <col min="5893" max="5893" width="17.33203125" style="92" customWidth="1"/>
    <col min="5894" max="5894" width="21.6640625" style="92" bestFit="1" customWidth="1"/>
    <col min="5895" max="5895" width="17.33203125" style="92" bestFit="1" customWidth="1"/>
    <col min="5896" max="5896" width="18.33203125" style="92" bestFit="1" customWidth="1"/>
    <col min="5897" max="5897" width="26.44140625" style="92" customWidth="1"/>
    <col min="5898" max="6142" width="9.33203125" style="92"/>
    <col min="6143" max="6143" width="8.6640625" style="92" bestFit="1" customWidth="1"/>
    <col min="6144" max="6144" width="13.33203125" style="92" customWidth="1"/>
    <col min="6145" max="6145" width="16.33203125" style="92" bestFit="1" customWidth="1"/>
    <col min="6146" max="6146" width="23.5546875" style="92" customWidth="1"/>
    <col min="6147" max="6147" width="17.33203125" style="92" customWidth="1"/>
    <col min="6148" max="6148" width="20.5546875" style="92" bestFit="1" customWidth="1"/>
    <col min="6149" max="6149" width="17.33203125" style="92" customWidth="1"/>
    <col min="6150" max="6150" width="21.6640625" style="92" bestFit="1" customWidth="1"/>
    <col min="6151" max="6151" width="17.33203125" style="92" bestFit="1" customWidth="1"/>
    <col min="6152" max="6152" width="18.33203125" style="92" bestFit="1" customWidth="1"/>
    <col min="6153" max="6153" width="26.44140625" style="92" customWidth="1"/>
    <col min="6154" max="6398" width="9.33203125" style="92"/>
    <col min="6399" max="6399" width="8.6640625" style="92" bestFit="1" customWidth="1"/>
    <col min="6400" max="6400" width="13.33203125" style="92" customWidth="1"/>
    <col min="6401" max="6401" width="16.33203125" style="92" bestFit="1" customWidth="1"/>
    <col min="6402" max="6402" width="23.5546875" style="92" customWidth="1"/>
    <col min="6403" max="6403" width="17.33203125" style="92" customWidth="1"/>
    <col min="6404" max="6404" width="20.5546875" style="92" bestFit="1" customWidth="1"/>
    <col min="6405" max="6405" width="17.33203125" style="92" customWidth="1"/>
    <col min="6406" max="6406" width="21.6640625" style="92" bestFit="1" customWidth="1"/>
    <col min="6407" max="6407" width="17.33203125" style="92" bestFit="1" customWidth="1"/>
    <col min="6408" max="6408" width="18.33203125" style="92" bestFit="1" customWidth="1"/>
    <col min="6409" max="6409" width="26.44140625" style="92" customWidth="1"/>
    <col min="6410" max="6654" width="9.33203125" style="92"/>
    <col min="6655" max="6655" width="8.6640625" style="92" bestFit="1" customWidth="1"/>
    <col min="6656" max="6656" width="13.33203125" style="92" customWidth="1"/>
    <col min="6657" max="6657" width="16.33203125" style="92" bestFit="1" customWidth="1"/>
    <col min="6658" max="6658" width="23.5546875" style="92" customWidth="1"/>
    <col min="6659" max="6659" width="17.33203125" style="92" customWidth="1"/>
    <col min="6660" max="6660" width="20.5546875" style="92" bestFit="1" customWidth="1"/>
    <col min="6661" max="6661" width="17.33203125" style="92" customWidth="1"/>
    <col min="6662" max="6662" width="21.6640625" style="92" bestFit="1" customWidth="1"/>
    <col min="6663" max="6663" width="17.33203125" style="92" bestFit="1" customWidth="1"/>
    <col min="6664" max="6664" width="18.33203125" style="92" bestFit="1" customWidth="1"/>
    <col min="6665" max="6665" width="26.44140625" style="92" customWidth="1"/>
    <col min="6666" max="6910" width="9.33203125" style="92"/>
    <col min="6911" max="6911" width="8.6640625" style="92" bestFit="1" customWidth="1"/>
    <col min="6912" max="6912" width="13.33203125" style="92" customWidth="1"/>
    <col min="6913" max="6913" width="16.33203125" style="92" bestFit="1" customWidth="1"/>
    <col min="6914" max="6914" width="23.5546875" style="92" customWidth="1"/>
    <col min="6915" max="6915" width="17.33203125" style="92" customWidth="1"/>
    <col min="6916" max="6916" width="20.5546875" style="92" bestFit="1" customWidth="1"/>
    <col min="6917" max="6917" width="17.33203125" style="92" customWidth="1"/>
    <col min="6918" max="6918" width="21.6640625" style="92" bestFit="1" customWidth="1"/>
    <col min="6919" max="6919" width="17.33203125" style="92" bestFit="1" customWidth="1"/>
    <col min="6920" max="6920" width="18.33203125" style="92" bestFit="1" customWidth="1"/>
    <col min="6921" max="6921" width="26.44140625" style="92" customWidth="1"/>
    <col min="6922" max="7166" width="9.33203125" style="92"/>
    <col min="7167" max="7167" width="8.6640625" style="92" bestFit="1" customWidth="1"/>
    <col min="7168" max="7168" width="13.33203125" style="92" customWidth="1"/>
    <col min="7169" max="7169" width="16.33203125" style="92" bestFit="1" customWidth="1"/>
    <col min="7170" max="7170" width="23.5546875" style="92" customWidth="1"/>
    <col min="7171" max="7171" width="17.33203125" style="92" customWidth="1"/>
    <col min="7172" max="7172" width="20.5546875" style="92" bestFit="1" customWidth="1"/>
    <col min="7173" max="7173" width="17.33203125" style="92" customWidth="1"/>
    <col min="7174" max="7174" width="21.6640625" style="92" bestFit="1" customWidth="1"/>
    <col min="7175" max="7175" width="17.33203125" style="92" bestFit="1" customWidth="1"/>
    <col min="7176" max="7176" width="18.33203125" style="92" bestFit="1" customWidth="1"/>
    <col min="7177" max="7177" width="26.44140625" style="92" customWidth="1"/>
    <col min="7178" max="7422" width="9.33203125" style="92"/>
    <col min="7423" max="7423" width="8.6640625" style="92" bestFit="1" customWidth="1"/>
    <col min="7424" max="7424" width="13.33203125" style="92" customWidth="1"/>
    <col min="7425" max="7425" width="16.33203125" style="92" bestFit="1" customWidth="1"/>
    <col min="7426" max="7426" width="23.5546875" style="92" customWidth="1"/>
    <col min="7427" max="7427" width="17.33203125" style="92" customWidth="1"/>
    <col min="7428" max="7428" width="20.5546875" style="92" bestFit="1" customWidth="1"/>
    <col min="7429" max="7429" width="17.33203125" style="92" customWidth="1"/>
    <col min="7430" max="7430" width="21.6640625" style="92" bestFit="1" customWidth="1"/>
    <col min="7431" max="7431" width="17.33203125" style="92" bestFit="1" customWidth="1"/>
    <col min="7432" max="7432" width="18.33203125" style="92" bestFit="1" customWidth="1"/>
    <col min="7433" max="7433" width="26.44140625" style="92" customWidth="1"/>
    <col min="7434" max="7678" width="9.33203125" style="92"/>
    <col min="7679" max="7679" width="8.6640625" style="92" bestFit="1" customWidth="1"/>
    <col min="7680" max="7680" width="13.33203125" style="92" customWidth="1"/>
    <col min="7681" max="7681" width="16.33203125" style="92" bestFit="1" customWidth="1"/>
    <col min="7682" max="7682" width="23.5546875" style="92" customWidth="1"/>
    <col min="7683" max="7683" width="17.33203125" style="92" customWidth="1"/>
    <col min="7684" max="7684" width="20.5546875" style="92" bestFit="1" customWidth="1"/>
    <col min="7685" max="7685" width="17.33203125" style="92" customWidth="1"/>
    <col min="7686" max="7686" width="21.6640625" style="92" bestFit="1" customWidth="1"/>
    <col min="7687" max="7687" width="17.33203125" style="92" bestFit="1" customWidth="1"/>
    <col min="7688" max="7688" width="18.33203125" style="92" bestFit="1" customWidth="1"/>
    <col min="7689" max="7689" width="26.44140625" style="92" customWidth="1"/>
    <col min="7690" max="7934" width="9.33203125" style="92"/>
    <col min="7935" max="7935" width="8.6640625" style="92" bestFit="1" customWidth="1"/>
    <col min="7936" max="7936" width="13.33203125" style="92" customWidth="1"/>
    <col min="7937" max="7937" width="16.33203125" style="92" bestFit="1" customWidth="1"/>
    <col min="7938" max="7938" width="23.5546875" style="92" customWidth="1"/>
    <col min="7939" max="7939" width="17.33203125" style="92" customWidth="1"/>
    <col min="7940" max="7940" width="20.5546875" style="92" bestFit="1" customWidth="1"/>
    <col min="7941" max="7941" width="17.33203125" style="92" customWidth="1"/>
    <col min="7942" max="7942" width="21.6640625" style="92" bestFit="1" customWidth="1"/>
    <col min="7943" max="7943" width="17.33203125" style="92" bestFit="1" customWidth="1"/>
    <col min="7944" max="7944" width="18.33203125" style="92" bestFit="1" customWidth="1"/>
    <col min="7945" max="7945" width="26.44140625" style="92" customWidth="1"/>
    <col min="7946" max="8190" width="9.33203125" style="92"/>
    <col min="8191" max="8191" width="8.6640625" style="92" bestFit="1" customWidth="1"/>
    <col min="8192" max="8192" width="13.33203125" style="92" customWidth="1"/>
    <col min="8193" max="8193" width="16.33203125" style="92" bestFit="1" customWidth="1"/>
    <col min="8194" max="8194" width="23.5546875" style="92" customWidth="1"/>
    <col min="8195" max="8195" width="17.33203125" style="92" customWidth="1"/>
    <col min="8196" max="8196" width="20.5546875" style="92" bestFit="1" customWidth="1"/>
    <col min="8197" max="8197" width="17.33203125" style="92" customWidth="1"/>
    <col min="8198" max="8198" width="21.6640625" style="92" bestFit="1" customWidth="1"/>
    <col min="8199" max="8199" width="17.33203125" style="92" bestFit="1" customWidth="1"/>
    <col min="8200" max="8200" width="18.33203125" style="92" bestFit="1" customWidth="1"/>
    <col min="8201" max="8201" width="26.44140625" style="92" customWidth="1"/>
    <col min="8202" max="8446" width="9.33203125" style="92"/>
    <col min="8447" max="8447" width="8.6640625" style="92" bestFit="1" customWidth="1"/>
    <col min="8448" max="8448" width="13.33203125" style="92" customWidth="1"/>
    <col min="8449" max="8449" width="16.33203125" style="92" bestFit="1" customWidth="1"/>
    <col min="8450" max="8450" width="23.5546875" style="92" customWidth="1"/>
    <col min="8451" max="8451" width="17.33203125" style="92" customWidth="1"/>
    <col min="8452" max="8452" width="20.5546875" style="92" bestFit="1" customWidth="1"/>
    <col min="8453" max="8453" width="17.33203125" style="92" customWidth="1"/>
    <col min="8454" max="8454" width="21.6640625" style="92" bestFit="1" customWidth="1"/>
    <col min="8455" max="8455" width="17.33203125" style="92" bestFit="1" customWidth="1"/>
    <col min="8456" max="8456" width="18.33203125" style="92" bestFit="1" customWidth="1"/>
    <col min="8457" max="8457" width="26.44140625" style="92" customWidth="1"/>
    <col min="8458" max="8702" width="9.33203125" style="92"/>
    <col min="8703" max="8703" width="8.6640625" style="92" bestFit="1" customWidth="1"/>
    <col min="8704" max="8704" width="13.33203125" style="92" customWidth="1"/>
    <col min="8705" max="8705" width="16.33203125" style="92" bestFit="1" customWidth="1"/>
    <col min="8706" max="8706" width="23.5546875" style="92" customWidth="1"/>
    <col min="8707" max="8707" width="17.33203125" style="92" customWidth="1"/>
    <col min="8708" max="8708" width="20.5546875" style="92" bestFit="1" customWidth="1"/>
    <col min="8709" max="8709" width="17.33203125" style="92" customWidth="1"/>
    <col min="8710" max="8710" width="21.6640625" style="92" bestFit="1" customWidth="1"/>
    <col min="8711" max="8711" width="17.33203125" style="92" bestFit="1" customWidth="1"/>
    <col min="8712" max="8712" width="18.33203125" style="92" bestFit="1" customWidth="1"/>
    <col min="8713" max="8713" width="26.44140625" style="92" customWidth="1"/>
    <col min="8714" max="8958" width="9.33203125" style="92"/>
    <col min="8959" max="8959" width="8.6640625" style="92" bestFit="1" customWidth="1"/>
    <col min="8960" max="8960" width="13.33203125" style="92" customWidth="1"/>
    <col min="8961" max="8961" width="16.33203125" style="92" bestFit="1" customWidth="1"/>
    <col min="8962" max="8962" width="23.5546875" style="92" customWidth="1"/>
    <col min="8963" max="8963" width="17.33203125" style="92" customWidth="1"/>
    <col min="8964" max="8964" width="20.5546875" style="92" bestFit="1" customWidth="1"/>
    <col min="8965" max="8965" width="17.33203125" style="92" customWidth="1"/>
    <col min="8966" max="8966" width="21.6640625" style="92" bestFit="1" customWidth="1"/>
    <col min="8967" max="8967" width="17.33203125" style="92" bestFit="1" customWidth="1"/>
    <col min="8968" max="8968" width="18.33203125" style="92" bestFit="1" customWidth="1"/>
    <col min="8969" max="8969" width="26.44140625" style="92" customWidth="1"/>
    <col min="8970" max="9214" width="9.33203125" style="92"/>
    <col min="9215" max="9215" width="8.6640625" style="92" bestFit="1" customWidth="1"/>
    <col min="9216" max="9216" width="13.33203125" style="92" customWidth="1"/>
    <col min="9217" max="9217" width="16.33203125" style="92" bestFit="1" customWidth="1"/>
    <col min="9218" max="9218" width="23.5546875" style="92" customWidth="1"/>
    <col min="9219" max="9219" width="17.33203125" style="92" customWidth="1"/>
    <col min="9220" max="9220" width="20.5546875" style="92" bestFit="1" customWidth="1"/>
    <col min="9221" max="9221" width="17.33203125" style="92" customWidth="1"/>
    <col min="9222" max="9222" width="21.6640625" style="92" bestFit="1" customWidth="1"/>
    <col min="9223" max="9223" width="17.33203125" style="92" bestFit="1" customWidth="1"/>
    <col min="9224" max="9224" width="18.33203125" style="92" bestFit="1" customWidth="1"/>
    <col min="9225" max="9225" width="26.44140625" style="92" customWidth="1"/>
    <col min="9226" max="9470" width="9.33203125" style="92"/>
    <col min="9471" max="9471" width="8.6640625" style="92" bestFit="1" customWidth="1"/>
    <col min="9472" max="9472" width="13.33203125" style="92" customWidth="1"/>
    <col min="9473" max="9473" width="16.33203125" style="92" bestFit="1" customWidth="1"/>
    <col min="9474" max="9474" width="23.5546875" style="92" customWidth="1"/>
    <col min="9475" max="9475" width="17.33203125" style="92" customWidth="1"/>
    <col min="9476" max="9476" width="20.5546875" style="92" bestFit="1" customWidth="1"/>
    <col min="9477" max="9477" width="17.33203125" style="92" customWidth="1"/>
    <col min="9478" max="9478" width="21.6640625" style="92" bestFit="1" customWidth="1"/>
    <col min="9479" max="9479" width="17.33203125" style="92" bestFit="1" customWidth="1"/>
    <col min="9480" max="9480" width="18.33203125" style="92" bestFit="1" customWidth="1"/>
    <col min="9481" max="9481" width="26.44140625" style="92" customWidth="1"/>
    <col min="9482" max="9726" width="9.33203125" style="92"/>
    <col min="9727" max="9727" width="8.6640625" style="92" bestFit="1" customWidth="1"/>
    <col min="9728" max="9728" width="13.33203125" style="92" customWidth="1"/>
    <col min="9729" max="9729" width="16.33203125" style="92" bestFit="1" customWidth="1"/>
    <col min="9730" max="9730" width="23.5546875" style="92" customWidth="1"/>
    <col min="9731" max="9731" width="17.33203125" style="92" customWidth="1"/>
    <col min="9732" max="9732" width="20.5546875" style="92" bestFit="1" customWidth="1"/>
    <col min="9733" max="9733" width="17.33203125" style="92" customWidth="1"/>
    <col min="9734" max="9734" width="21.6640625" style="92" bestFit="1" customWidth="1"/>
    <col min="9735" max="9735" width="17.33203125" style="92" bestFit="1" customWidth="1"/>
    <col min="9736" max="9736" width="18.33203125" style="92" bestFit="1" customWidth="1"/>
    <col min="9737" max="9737" width="26.44140625" style="92" customWidth="1"/>
    <col min="9738" max="9982" width="9.33203125" style="92"/>
    <col min="9983" max="9983" width="8.6640625" style="92" bestFit="1" customWidth="1"/>
    <col min="9984" max="9984" width="13.33203125" style="92" customWidth="1"/>
    <col min="9985" max="9985" width="16.33203125" style="92" bestFit="1" customWidth="1"/>
    <col min="9986" max="9986" width="23.5546875" style="92" customWidth="1"/>
    <col min="9987" max="9987" width="17.33203125" style="92" customWidth="1"/>
    <col min="9988" max="9988" width="20.5546875" style="92" bestFit="1" customWidth="1"/>
    <col min="9989" max="9989" width="17.33203125" style="92" customWidth="1"/>
    <col min="9990" max="9990" width="21.6640625" style="92" bestFit="1" customWidth="1"/>
    <col min="9991" max="9991" width="17.33203125" style="92" bestFit="1" customWidth="1"/>
    <col min="9992" max="9992" width="18.33203125" style="92" bestFit="1" customWidth="1"/>
    <col min="9993" max="9993" width="26.44140625" style="92" customWidth="1"/>
    <col min="9994" max="10238" width="9.33203125" style="92"/>
    <col min="10239" max="10239" width="8.6640625" style="92" bestFit="1" customWidth="1"/>
    <col min="10240" max="10240" width="13.33203125" style="92" customWidth="1"/>
    <col min="10241" max="10241" width="16.33203125" style="92" bestFit="1" customWidth="1"/>
    <col min="10242" max="10242" width="23.5546875" style="92" customWidth="1"/>
    <col min="10243" max="10243" width="17.33203125" style="92" customWidth="1"/>
    <col min="10244" max="10244" width="20.5546875" style="92" bestFit="1" customWidth="1"/>
    <col min="10245" max="10245" width="17.33203125" style="92" customWidth="1"/>
    <col min="10246" max="10246" width="21.6640625" style="92" bestFit="1" customWidth="1"/>
    <col min="10247" max="10247" width="17.33203125" style="92" bestFit="1" customWidth="1"/>
    <col min="10248" max="10248" width="18.33203125" style="92" bestFit="1" customWidth="1"/>
    <col min="10249" max="10249" width="26.44140625" style="92" customWidth="1"/>
    <col min="10250" max="10494" width="9.33203125" style="92"/>
    <col min="10495" max="10495" width="8.6640625" style="92" bestFit="1" customWidth="1"/>
    <col min="10496" max="10496" width="13.33203125" style="92" customWidth="1"/>
    <col min="10497" max="10497" width="16.33203125" style="92" bestFit="1" customWidth="1"/>
    <col min="10498" max="10498" width="23.5546875" style="92" customWidth="1"/>
    <col min="10499" max="10499" width="17.33203125" style="92" customWidth="1"/>
    <col min="10500" max="10500" width="20.5546875" style="92" bestFit="1" customWidth="1"/>
    <col min="10501" max="10501" width="17.33203125" style="92" customWidth="1"/>
    <col min="10502" max="10502" width="21.6640625" style="92" bestFit="1" customWidth="1"/>
    <col min="10503" max="10503" width="17.33203125" style="92" bestFit="1" customWidth="1"/>
    <col min="10504" max="10504" width="18.33203125" style="92" bestFit="1" customWidth="1"/>
    <col min="10505" max="10505" width="26.44140625" style="92" customWidth="1"/>
    <col min="10506" max="10750" width="9.33203125" style="92"/>
    <col min="10751" max="10751" width="8.6640625" style="92" bestFit="1" customWidth="1"/>
    <col min="10752" max="10752" width="13.33203125" style="92" customWidth="1"/>
    <col min="10753" max="10753" width="16.33203125" style="92" bestFit="1" customWidth="1"/>
    <col min="10754" max="10754" width="23.5546875" style="92" customWidth="1"/>
    <col min="10755" max="10755" width="17.33203125" style="92" customWidth="1"/>
    <col min="10756" max="10756" width="20.5546875" style="92" bestFit="1" customWidth="1"/>
    <col min="10757" max="10757" width="17.33203125" style="92" customWidth="1"/>
    <col min="10758" max="10758" width="21.6640625" style="92" bestFit="1" customWidth="1"/>
    <col min="10759" max="10759" width="17.33203125" style="92" bestFit="1" customWidth="1"/>
    <col min="10760" max="10760" width="18.33203125" style="92" bestFit="1" customWidth="1"/>
    <col min="10761" max="10761" width="26.44140625" style="92" customWidth="1"/>
    <col min="10762" max="11006" width="9.33203125" style="92"/>
    <col min="11007" max="11007" width="8.6640625" style="92" bestFit="1" customWidth="1"/>
    <col min="11008" max="11008" width="13.33203125" style="92" customWidth="1"/>
    <col min="11009" max="11009" width="16.33203125" style="92" bestFit="1" customWidth="1"/>
    <col min="11010" max="11010" width="23.5546875" style="92" customWidth="1"/>
    <col min="11011" max="11011" width="17.33203125" style="92" customWidth="1"/>
    <col min="11012" max="11012" width="20.5546875" style="92" bestFit="1" customWidth="1"/>
    <col min="11013" max="11013" width="17.33203125" style="92" customWidth="1"/>
    <col min="11014" max="11014" width="21.6640625" style="92" bestFit="1" customWidth="1"/>
    <col min="11015" max="11015" width="17.33203125" style="92" bestFit="1" customWidth="1"/>
    <col min="11016" max="11016" width="18.33203125" style="92" bestFit="1" customWidth="1"/>
    <col min="11017" max="11017" width="26.44140625" style="92" customWidth="1"/>
    <col min="11018" max="11262" width="9.33203125" style="92"/>
    <col min="11263" max="11263" width="8.6640625" style="92" bestFit="1" customWidth="1"/>
    <col min="11264" max="11264" width="13.33203125" style="92" customWidth="1"/>
    <col min="11265" max="11265" width="16.33203125" style="92" bestFit="1" customWidth="1"/>
    <col min="11266" max="11266" width="23.5546875" style="92" customWidth="1"/>
    <col min="11267" max="11267" width="17.33203125" style="92" customWidth="1"/>
    <col min="11268" max="11268" width="20.5546875" style="92" bestFit="1" customWidth="1"/>
    <col min="11269" max="11269" width="17.33203125" style="92" customWidth="1"/>
    <col min="11270" max="11270" width="21.6640625" style="92" bestFit="1" customWidth="1"/>
    <col min="11271" max="11271" width="17.33203125" style="92" bestFit="1" customWidth="1"/>
    <col min="11272" max="11272" width="18.33203125" style="92" bestFit="1" customWidth="1"/>
    <col min="11273" max="11273" width="26.44140625" style="92" customWidth="1"/>
    <col min="11274" max="11518" width="9.33203125" style="92"/>
    <col min="11519" max="11519" width="8.6640625" style="92" bestFit="1" customWidth="1"/>
    <col min="11520" max="11520" width="13.33203125" style="92" customWidth="1"/>
    <col min="11521" max="11521" width="16.33203125" style="92" bestFit="1" customWidth="1"/>
    <col min="11522" max="11522" width="23.5546875" style="92" customWidth="1"/>
    <col min="11523" max="11523" width="17.33203125" style="92" customWidth="1"/>
    <col min="11524" max="11524" width="20.5546875" style="92" bestFit="1" customWidth="1"/>
    <col min="11525" max="11525" width="17.33203125" style="92" customWidth="1"/>
    <col min="11526" max="11526" width="21.6640625" style="92" bestFit="1" customWidth="1"/>
    <col min="11527" max="11527" width="17.33203125" style="92" bestFit="1" customWidth="1"/>
    <col min="11528" max="11528" width="18.33203125" style="92" bestFit="1" customWidth="1"/>
    <col min="11529" max="11529" width="26.44140625" style="92" customWidth="1"/>
    <col min="11530" max="11774" width="9.33203125" style="92"/>
    <col min="11775" max="11775" width="8.6640625" style="92" bestFit="1" customWidth="1"/>
    <col min="11776" max="11776" width="13.33203125" style="92" customWidth="1"/>
    <col min="11777" max="11777" width="16.33203125" style="92" bestFit="1" customWidth="1"/>
    <col min="11778" max="11778" width="23.5546875" style="92" customWidth="1"/>
    <col min="11779" max="11779" width="17.33203125" style="92" customWidth="1"/>
    <col min="11780" max="11780" width="20.5546875" style="92" bestFit="1" customWidth="1"/>
    <col min="11781" max="11781" width="17.33203125" style="92" customWidth="1"/>
    <col min="11782" max="11782" width="21.6640625" style="92" bestFit="1" customWidth="1"/>
    <col min="11783" max="11783" width="17.33203125" style="92" bestFit="1" customWidth="1"/>
    <col min="11784" max="11784" width="18.33203125" style="92" bestFit="1" customWidth="1"/>
    <col min="11785" max="11785" width="26.44140625" style="92" customWidth="1"/>
    <col min="11786" max="12030" width="9.33203125" style="92"/>
    <col min="12031" max="12031" width="8.6640625" style="92" bestFit="1" customWidth="1"/>
    <col min="12032" max="12032" width="13.33203125" style="92" customWidth="1"/>
    <col min="12033" max="12033" width="16.33203125" style="92" bestFit="1" customWidth="1"/>
    <col min="12034" max="12034" width="23.5546875" style="92" customWidth="1"/>
    <col min="12035" max="12035" width="17.33203125" style="92" customWidth="1"/>
    <col min="12036" max="12036" width="20.5546875" style="92" bestFit="1" customWidth="1"/>
    <col min="12037" max="12037" width="17.33203125" style="92" customWidth="1"/>
    <col min="12038" max="12038" width="21.6640625" style="92" bestFit="1" customWidth="1"/>
    <col min="12039" max="12039" width="17.33203125" style="92" bestFit="1" customWidth="1"/>
    <col min="12040" max="12040" width="18.33203125" style="92" bestFit="1" customWidth="1"/>
    <col min="12041" max="12041" width="26.44140625" style="92" customWidth="1"/>
    <col min="12042" max="12286" width="9.33203125" style="92"/>
    <col min="12287" max="12287" width="8.6640625" style="92" bestFit="1" customWidth="1"/>
    <col min="12288" max="12288" width="13.33203125" style="92" customWidth="1"/>
    <col min="12289" max="12289" width="16.33203125" style="92" bestFit="1" customWidth="1"/>
    <col min="12290" max="12290" width="23.5546875" style="92" customWidth="1"/>
    <col min="12291" max="12291" width="17.33203125" style="92" customWidth="1"/>
    <col min="12292" max="12292" width="20.5546875" style="92" bestFit="1" customWidth="1"/>
    <col min="12293" max="12293" width="17.33203125" style="92" customWidth="1"/>
    <col min="12294" max="12294" width="21.6640625" style="92" bestFit="1" customWidth="1"/>
    <col min="12295" max="12295" width="17.33203125" style="92" bestFit="1" customWidth="1"/>
    <col min="12296" max="12296" width="18.33203125" style="92" bestFit="1" customWidth="1"/>
    <col min="12297" max="12297" width="26.44140625" style="92" customWidth="1"/>
    <col min="12298" max="12542" width="9.33203125" style="92"/>
    <col min="12543" max="12543" width="8.6640625" style="92" bestFit="1" customWidth="1"/>
    <col min="12544" max="12544" width="13.33203125" style="92" customWidth="1"/>
    <col min="12545" max="12545" width="16.33203125" style="92" bestFit="1" customWidth="1"/>
    <col min="12546" max="12546" width="23.5546875" style="92" customWidth="1"/>
    <col min="12547" max="12547" width="17.33203125" style="92" customWidth="1"/>
    <col min="12548" max="12548" width="20.5546875" style="92" bestFit="1" customWidth="1"/>
    <col min="12549" max="12549" width="17.33203125" style="92" customWidth="1"/>
    <col min="12550" max="12550" width="21.6640625" style="92" bestFit="1" customWidth="1"/>
    <col min="12551" max="12551" width="17.33203125" style="92" bestFit="1" customWidth="1"/>
    <col min="12552" max="12552" width="18.33203125" style="92" bestFit="1" customWidth="1"/>
    <col min="12553" max="12553" width="26.44140625" style="92" customWidth="1"/>
    <col min="12554" max="12798" width="9.33203125" style="92"/>
    <col min="12799" max="12799" width="8.6640625" style="92" bestFit="1" customWidth="1"/>
    <col min="12800" max="12800" width="13.33203125" style="92" customWidth="1"/>
    <col min="12801" max="12801" width="16.33203125" style="92" bestFit="1" customWidth="1"/>
    <col min="12802" max="12802" width="23.5546875" style="92" customWidth="1"/>
    <col min="12803" max="12803" width="17.33203125" style="92" customWidth="1"/>
    <col min="12804" max="12804" width="20.5546875" style="92" bestFit="1" customWidth="1"/>
    <col min="12805" max="12805" width="17.33203125" style="92" customWidth="1"/>
    <col min="12806" max="12806" width="21.6640625" style="92" bestFit="1" customWidth="1"/>
    <col min="12807" max="12807" width="17.33203125" style="92" bestFit="1" customWidth="1"/>
    <col min="12808" max="12808" width="18.33203125" style="92" bestFit="1" customWidth="1"/>
    <col min="12809" max="12809" width="26.44140625" style="92" customWidth="1"/>
    <col min="12810" max="13054" width="9.33203125" style="92"/>
    <col min="13055" max="13055" width="8.6640625" style="92" bestFit="1" customWidth="1"/>
    <col min="13056" max="13056" width="13.33203125" style="92" customWidth="1"/>
    <col min="13057" max="13057" width="16.33203125" style="92" bestFit="1" customWidth="1"/>
    <col min="13058" max="13058" width="23.5546875" style="92" customWidth="1"/>
    <col min="13059" max="13059" width="17.33203125" style="92" customWidth="1"/>
    <col min="13060" max="13060" width="20.5546875" style="92" bestFit="1" customWidth="1"/>
    <col min="13061" max="13061" width="17.33203125" style="92" customWidth="1"/>
    <col min="13062" max="13062" width="21.6640625" style="92" bestFit="1" customWidth="1"/>
    <col min="13063" max="13063" width="17.33203125" style="92" bestFit="1" customWidth="1"/>
    <col min="13064" max="13064" width="18.33203125" style="92" bestFit="1" customWidth="1"/>
    <col min="13065" max="13065" width="26.44140625" style="92" customWidth="1"/>
    <col min="13066" max="13310" width="9.33203125" style="92"/>
    <col min="13311" max="13311" width="8.6640625" style="92" bestFit="1" customWidth="1"/>
    <col min="13312" max="13312" width="13.33203125" style="92" customWidth="1"/>
    <col min="13313" max="13313" width="16.33203125" style="92" bestFit="1" customWidth="1"/>
    <col min="13314" max="13314" width="23.5546875" style="92" customWidth="1"/>
    <col min="13315" max="13315" width="17.33203125" style="92" customWidth="1"/>
    <col min="13316" max="13316" width="20.5546875" style="92" bestFit="1" customWidth="1"/>
    <col min="13317" max="13317" width="17.33203125" style="92" customWidth="1"/>
    <col min="13318" max="13318" width="21.6640625" style="92" bestFit="1" customWidth="1"/>
    <col min="13319" max="13319" width="17.33203125" style="92" bestFit="1" customWidth="1"/>
    <col min="13320" max="13320" width="18.33203125" style="92" bestFit="1" customWidth="1"/>
    <col min="13321" max="13321" width="26.44140625" style="92" customWidth="1"/>
    <col min="13322" max="13566" width="9.33203125" style="92"/>
    <col min="13567" max="13567" width="8.6640625" style="92" bestFit="1" customWidth="1"/>
    <col min="13568" max="13568" width="13.33203125" style="92" customWidth="1"/>
    <col min="13569" max="13569" width="16.33203125" style="92" bestFit="1" customWidth="1"/>
    <col min="13570" max="13570" width="23.5546875" style="92" customWidth="1"/>
    <col min="13571" max="13571" width="17.33203125" style="92" customWidth="1"/>
    <col min="13572" max="13572" width="20.5546875" style="92" bestFit="1" customWidth="1"/>
    <col min="13573" max="13573" width="17.33203125" style="92" customWidth="1"/>
    <col min="13574" max="13574" width="21.6640625" style="92" bestFit="1" customWidth="1"/>
    <col min="13575" max="13575" width="17.33203125" style="92" bestFit="1" customWidth="1"/>
    <col min="13576" max="13576" width="18.33203125" style="92" bestFit="1" customWidth="1"/>
    <col min="13577" max="13577" width="26.44140625" style="92" customWidth="1"/>
    <col min="13578" max="13822" width="9.33203125" style="92"/>
    <col min="13823" max="13823" width="8.6640625" style="92" bestFit="1" customWidth="1"/>
    <col min="13824" max="13824" width="13.33203125" style="92" customWidth="1"/>
    <col min="13825" max="13825" width="16.33203125" style="92" bestFit="1" customWidth="1"/>
    <col min="13826" max="13826" width="23.5546875" style="92" customWidth="1"/>
    <col min="13827" max="13827" width="17.33203125" style="92" customWidth="1"/>
    <col min="13828" max="13828" width="20.5546875" style="92" bestFit="1" customWidth="1"/>
    <col min="13829" max="13829" width="17.33203125" style="92" customWidth="1"/>
    <col min="13830" max="13830" width="21.6640625" style="92" bestFit="1" customWidth="1"/>
    <col min="13831" max="13831" width="17.33203125" style="92" bestFit="1" customWidth="1"/>
    <col min="13832" max="13832" width="18.33203125" style="92" bestFit="1" customWidth="1"/>
    <col min="13833" max="13833" width="26.44140625" style="92" customWidth="1"/>
    <col min="13834" max="14078" width="9.33203125" style="92"/>
    <col min="14079" max="14079" width="8.6640625" style="92" bestFit="1" customWidth="1"/>
    <col min="14080" max="14080" width="13.33203125" style="92" customWidth="1"/>
    <col min="14081" max="14081" width="16.33203125" style="92" bestFit="1" customWidth="1"/>
    <col min="14082" max="14082" width="23.5546875" style="92" customWidth="1"/>
    <col min="14083" max="14083" width="17.33203125" style="92" customWidth="1"/>
    <col min="14084" max="14084" width="20.5546875" style="92" bestFit="1" customWidth="1"/>
    <col min="14085" max="14085" width="17.33203125" style="92" customWidth="1"/>
    <col min="14086" max="14086" width="21.6640625" style="92" bestFit="1" customWidth="1"/>
    <col min="14087" max="14087" width="17.33203125" style="92" bestFit="1" customWidth="1"/>
    <col min="14088" max="14088" width="18.33203125" style="92" bestFit="1" customWidth="1"/>
    <col min="14089" max="14089" width="26.44140625" style="92" customWidth="1"/>
    <col min="14090" max="14334" width="9.33203125" style="92"/>
    <col min="14335" max="14335" width="8.6640625" style="92" bestFit="1" customWidth="1"/>
    <col min="14336" max="14336" width="13.33203125" style="92" customWidth="1"/>
    <col min="14337" max="14337" width="16.33203125" style="92" bestFit="1" customWidth="1"/>
    <col min="14338" max="14338" width="23.5546875" style="92" customWidth="1"/>
    <col min="14339" max="14339" width="17.33203125" style="92" customWidth="1"/>
    <col min="14340" max="14340" width="20.5546875" style="92" bestFit="1" customWidth="1"/>
    <col min="14341" max="14341" width="17.33203125" style="92" customWidth="1"/>
    <col min="14342" max="14342" width="21.6640625" style="92" bestFit="1" customWidth="1"/>
    <col min="14343" max="14343" width="17.33203125" style="92" bestFit="1" customWidth="1"/>
    <col min="14344" max="14344" width="18.33203125" style="92" bestFit="1" customWidth="1"/>
    <col min="14345" max="14345" width="26.44140625" style="92" customWidth="1"/>
    <col min="14346" max="14590" width="9.33203125" style="92"/>
    <col min="14591" max="14591" width="8.6640625" style="92" bestFit="1" customWidth="1"/>
    <col min="14592" max="14592" width="13.33203125" style="92" customWidth="1"/>
    <col min="14593" max="14593" width="16.33203125" style="92" bestFit="1" customWidth="1"/>
    <col min="14594" max="14594" width="23.5546875" style="92" customWidth="1"/>
    <col min="14595" max="14595" width="17.33203125" style="92" customWidth="1"/>
    <col min="14596" max="14596" width="20.5546875" style="92" bestFit="1" customWidth="1"/>
    <col min="14597" max="14597" width="17.33203125" style="92" customWidth="1"/>
    <col min="14598" max="14598" width="21.6640625" style="92" bestFit="1" customWidth="1"/>
    <col min="14599" max="14599" width="17.33203125" style="92" bestFit="1" customWidth="1"/>
    <col min="14600" max="14600" width="18.33203125" style="92" bestFit="1" customWidth="1"/>
    <col min="14601" max="14601" width="26.44140625" style="92" customWidth="1"/>
    <col min="14602" max="14846" width="9.33203125" style="92"/>
    <col min="14847" max="14847" width="8.6640625" style="92" bestFit="1" customWidth="1"/>
    <col min="14848" max="14848" width="13.33203125" style="92" customWidth="1"/>
    <col min="14849" max="14849" width="16.33203125" style="92" bestFit="1" customWidth="1"/>
    <col min="14850" max="14850" width="23.5546875" style="92" customWidth="1"/>
    <col min="14851" max="14851" width="17.33203125" style="92" customWidth="1"/>
    <col min="14852" max="14852" width="20.5546875" style="92" bestFit="1" customWidth="1"/>
    <col min="14853" max="14853" width="17.33203125" style="92" customWidth="1"/>
    <col min="14854" max="14854" width="21.6640625" style="92" bestFit="1" customWidth="1"/>
    <col min="14855" max="14855" width="17.33203125" style="92" bestFit="1" customWidth="1"/>
    <col min="14856" max="14856" width="18.33203125" style="92" bestFit="1" customWidth="1"/>
    <col min="14857" max="14857" width="26.44140625" style="92" customWidth="1"/>
    <col min="14858" max="15102" width="9.33203125" style="92"/>
    <col min="15103" max="15103" width="8.6640625" style="92" bestFit="1" customWidth="1"/>
    <col min="15104" max="15104" width="13.33203125" style="92" customWidth="1"/>
    <col min="15105" max="15105" width="16.33203125" style="92" bestFit="1" customWidth="1"/>
    <col min="15106" max="15106" width="23.5546875" style="92" customWidth="1"/>
    <col min="15107" max="15107" width="17.33203125" style="92" customWidth="1"/>
    <col min="15108" max="15108" width="20.5546875" style="92" bestFit="1" customWidth="1"/>
    <col min="15109" max="15109" width="17.33203125" style="92" customWidth="1"/>
    <col min="15110" max="15110" width="21.6640625" style="92" bestFit="1" customWidth="1"/>
    <col min="15111" max="15111" width="17.33203125" style="92" bestFit="1" customWidth="1"/>
    <col min="15112" max="15112" width="18.33203125" style="92" bestFit="1" customWidth="1"/>
    <col min="15113" max="15113" width="26.44140625" style="92" customWidth="1"/>
    <col min="15114" max="15358" width="9.33203125" style="92"/>
    <col min="15359" max="15359" width="8.6640625" style="92" bestFit="1" customWidth="1"/>
    <col min="15360" max="15360" width="13.33203125" style="92" customWidth="1"/>
    <col min="15361" max="15361" width="16.33203125" style="92" bestFit="1" customWidth="1"/>
    <col min="15362" max="15362" width="23.5546875" style="92" customWidth="1"/>
    <col min="15363" max="15363" width="17.33203125" style="92" customWidth="1"/>
    <col min="15364" max="15364" width="20.5546875" style="92" bestFit="1" customWidth="1"/>
    <col min="15365" max="15365" width="17.33203125" style="92" customWidth="1"/>
    <col min="15366" max="15366" width="21.6640625" style="92" bestFit="1" customWidth="1"/>
    <col min="15367" max="15367" width="17.33203125" style="92" bestFit="1" customWidth="1"/>
    <col min="15368" max="15368" width="18.33203125" style="92" bestFit="1" customWidth="1"/>
    <col min="15369" max="15369" width="26.44140625" style="92" customWidth="1"/>
    <col min="15370" max="15614" width="9.33203125" style="92"/>
    <col min="15615" max="15615" width="8.6640625" style="92" bestFit="1" customWidth="1"/>
    <col min="15616" max="15616" width="13.33203125" style="92" customWidth="1"/>
    <col min="15617" max="15617" width="16.33203125" style="92" bestFit="1" customWidth="1"/>
    <col min="15618" max="15618" width="23.5546875" style="92" customWidth="1"/>
    <col min="15619" max="15619" width="17.33203125" style="92" customWidth="1"/>
    <col min="15620" max="15620" width="20.5546875" style="92" bestFit="1" customWidth="1"/>
    <col min="15621" max="15621" width="17.33203125" style="92" customWidth="1"/>
    <col min="15622" max="15622" width="21.6640625" style="92" bestFit="1" customWidth="1"/>
    <col min="15623" max="15623" width="17.33203125" style="92" bestFit="1" customWidth="1"/>
    <col min="15624" max="15624" width="18.33203125" style="92" bestFit="1" customWidth="1"/>
    <col min="15625" max="15625" width="26.44140625" style="92" customWidth="1"/>
    <col min="15626" max="15870" width="9.33203125" style="92"/>
    <col min="15871" max="15871" width="8.6640625" style="92" bestFit="1" customWidth="1"/>
    <col min="15872" max="15872" width="13.33203125" style="92" customWidth="1"/>
    <col min="15873" max="15873" width="16.33203125" style="92" bestFit="1" customWidth="1"/>
    <col min="15874" max="15874" width="23.5546875" style="92" customWidth="1"/>
    <col min="15875" max="15875" width="17.33203125" style="92" customWidth="1"/>
    <col min="15876" max="15876" width="20.5546875" style="92" bestFit="1" customWidth="1"/>
    <col min="15877" max="15877" width="17.33203125" style="92" customWidth="1"/>
    <col min="15878" max="15878" width="21.6640625" style="92" bestFit="1" customWidth="1"/>
    <col min="15879" max="15879" width="17.33203125" style="92" bestFit="1" customWidth="1"/>
    <col min="15880" max="15880" width="18.33203125" style="92" bestFit="1" customWidth="1"/>
    <col min="15881" max="15881" width="26.44140625" style="92" customWidth="1"/>
    <col min="15882" max="16126" width="9.33203125" style="92"/>
    <col min="16127" max="16127" width="8.6640625" style="92" bestFit="1" customWidth="1"/>
    <col min="16128" max="16128" width="13.33203125" style="92" customWidth="1"/>
    <col min="16129" max="16129" width="16.33203125" style="92" bestFit="1" customWidth="1"/>
    <col min="16130" max="16130" width="23.5546875" style="92" customWidth="1"/>
    <col min="16131" max="16131" width="17.33203125" style="92" customWidth="1"/>
    <col min="16132" max="16132" width="20.5546875" style="92" bestFit="1" customWidth="1"/>
    <col min="16133" max="16133" width="17.33203125" style="92" customWidth="1"/>
    <col min="16134" max="16134" width="21.6640625" style="92" bestFit="1" customWidth="1"/>
    <col min="16135" max="16135" width="17.33203125" style="92" bestFit="1" customWidth="1"/>
    <col min="16136" max="16136" width="18.33203125" style="92" bestFit="1" customWidth="1"/>
    <col min="16137" max="16137" width="26.44140625" style="92" customWidth="1"/>
    <col min="16138" max="16384" width="9.33203125" style="92"/>
  </cols>
  <sheetData>
    <row r="1" spans="11:12" s="110" customFormat="1" x14ac:dyDescent="0.25">
      <c r="K1" s="409"/>
      <c r="L1" s="408"/>
    </row>
    <row r="2" spans="11:12" s="110" customFormat="1" x14ac:dyDescent="0.25">
      <c r="K2" s="409"/>
      <c r="L2" s="408"/>
    </row>
    <row r="3" spans="11:12" s="110" customFormat="1" x14ac:dyDescent="0.25">
      <c r="K3" s="409"/>
      <c r="L3" s="408"/>
    </row>
    <row r="4" spans="11:12" s="110" customFormat="1" x14ac:dyDescent="0.25">
      <c r="K4" s="409"/>
      <c r="L4" s="408"/>
    </row>
    <row r="5" spans="11:12" s="110" customFormat="1" x14ac:dyDescent="0.25">
      <c r="K5" s="409"/>
      <c r="L5" s="408"/>
    </row>
    <row r="6" spans="11:12" s="110" customFormat="1" x14ac:dyDescent="0.25">
      <c r="K6" s="409"/>
      <c r="L6" s="408"/>
    </row>
    <row r="7" spans="11:12" s="110" customFormat="1" x14ac:dyDescent="0.25">
      <c r="K7" s="409"/>
      <c r="L7" s="408"/>
    </row>
    <row r="8" spans="11:12" s="110" customFormat="1" x14ac:dyDescent="0.25">
      <c r="K8" s="409"/>
      <c r="L8" s="408"/>
    </row>
    <row r="9" spans="11:12" s="110" customFormat="1" x14ac:dyDescent="0.25">
      <c r="K9" s="409"/>
      <c r="L9" s="408"/>
    </row>
    <row r="10" spans="11:12" s="110" customFormat="1" x14ac:dyDescent="0.25">
      <c r="K10" s="409"/>
      <c r="L10" s="408"/>
    </row>
    <row r="11" spans="11:12" s="110" customFormat="1" x14ac:dyDescent="0.25">
      <c r="K11" s="409"/>
      <c r="L11" s="408"/>
    </row>
    <row r="12" spans="11:12" s="110" customFormat="1" x14ac:dyDescent="0.25">
      <c r="K12" s="409"/>
      <c r="L12" s="408"/>
    </row>
    <row r="13" spans="11:12" s="110" customFormat="1" x14ac:dyDescent="0.25">
      <c r="K13" s="409"/>
      <c r="L13" s="408"/>
    </row>
    <row r="14" spans="11:12" s="110" customFormat="1" x14ac:dyDescent="0.25">
      <c r="K14" s="409"/>
      <c r="L14" s="408"/>
    </row>
    <row r="15" spans="11:12" s="110" customFormat="1" x14ac:dyDescent="0.25">
      <c r="K15" s="409"/>
      <c r="L15" s="408"/>
    </row>
    <row r="16" spans="11:12" s="110" customFormat="1" x14ac:dyDescent="0.25">
      <c r="K16" s="409"/>
      <c r="L16" s="408"/>
    </row>
    <row r="17" spans="1:21" s="110" customFormat="1" x14ac:dyDescent="0.25">
      <c r="K17" s="409"/>
      <c r="L17" s="408"/>
    </row>
    <row r="18" spans="1:21" s="110" customFormat="1" x14ac:dyDescent="0.25">
      <c r="K18" s="409"/>
      <c r="L18" s="408"/>
    </row>
    <row r="19" spans="1:21" s="110" customFormat="1" x14ac:dyDescent="0.25">
      <c r="K19" s="409"/>
      <c r="L19" s="408"/>
    </row>
    <row r="20" spans="1:21" s="110" customFormat="1" x14ac:dyDescent="0.25">
      <c r="K20" s="409"/>
      <c r="L20" s="408"/>
    </row>
    <row r="21" spans="1:21" s="110" customFormat="1" x14ac:dyDescent="0.25">
      <c r="K21" s="409"/>
      <c r="L21" s="408"/>
    </row>
    <row r="22" spans="1:21" s="110" customFormat="1" x14ac:dyDescent="0.25">
      <c r="K22" s="409"/>
      <c r="L22" s="408"/>
    </row>
    <row r="23" spans="1:21" s="110" customFormat="1" x14ac:dyDescent="0.25">
      <c r="K23" s="409"/>
      <c r="L23" s="408"/>
    </row>
    <row r="24" spans="1:21" s="110" customFormat="1" x14ac:dyDescent="0.25">
      <c r="K24" s="409"/>
      <c r="L24" s="408"/>
    </row>
    <row r="25" spans="1:21" s="110" customFormat="1" x14ac:dyDescent="0.25">
      <c r="K25" s="409"/>
      <c r="L25" s="408"/>
      <c r="O25" s="636"/>
      <c r="P25" s="636"/>
      <c r="Q25" s="636"/>
      <c r="R25" s="636"/>
      <c r="S25" s="636"/>
      <c r="T25" s="636"/>
      <c r="U25" s="636"/>
    </row>
    <row r="26" spans="1:21" s="110" customFormat="1" x14ac:dyDescent="0.25">
      <c r="K26" s="409"/>
      <c r="L26" s="408"/>
      <c r="O26" s="636"/>
      <c r="P26" s="636"/>
      <c r="Q26" s="636"/>
      <c r="R26" s="636"/>
      <c r="S26" s="636"/>
      <c r="T26" s="636"/>
      <c r="U26" s="636"/>
    </row>
    <row r="27" spans="1:21" s="110" customFormat="1" x14ac:dyDescent="0.25">
      <c r="K27" s="409"/>
      <c r="L27" s="408"/>
      <c r="O27" s="636"/>
      <c r="P27" s="636"/>
      <c r="Q27" s="636"/>
      <c r="R27" s="636"/>
      <c r="S27" s="636"/>
      <c r="T27" s="636"/>
      <c r="U27" s="636"/>
    </row>
    <row r="28" spans="1:21" s="110" customFormat="1" ht="24.75" customHeight="1" x14ac:dyDescent="0.3">
      <c r="A28" s="431" t="str">
        <f>CHOOSE(MODE, 'Variable Mgmt'!K7,'Variable Mgmt'!K8)</f>
        <v>SINGLE Output PSR Flyback Converter, VIN = 20 V, VOUT = 20 V, IOUT = 0.1 A</v>
      </c>
      <c r="K28" s="408"/>
      <c r="L28" s="408"/>
      <c r="O28" s="636"/>
      <c r="P28" s="636"/>
      <c r="Q28" s="636"/>
      <c r="R28" s="636"/>
      <c r="S28" s="636"/>
      <c r="T28" s="636"/>
      <c r="U28" s="636"/>
    </row>
    <row r="29" spans="1:21" ht="24.75" customHeight="1" thickBot="1" x14ac:dyDescent="0.3">
      <c r="A29" s="93" t="str">
        <f>CHOOSE(VARIANT,"LM5180 High Efficiency PSR Flyback Converter BOM","LM5181 High Efficiency PSR Flyback Converter BOM","LM25180 High Efficiency PSR Flyback Converter BOM","LM25183 High Efficiency PSR Flyback Converter BOM","LM25184 High Efficiency PSR Flyback Converter BOM")</f>
        <v>LM5181 High Efficiency PSR Flyback Converter BOM</v>
      </c>
      <c r="O29" s="637"/>
      <c r="P29" s="637"/>
      <c r="Q29" s="637"/>
      <c r="R29" s="637"/>
      <c r="S29" s="637"/>
      <c r="T29" s="637"/>
      <c r="U29" s="637"/>
    </row>
    <row r="30" spans="1:21" ht="18" customHeight="1" x14ac:dyDescent="0.25">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5">
      <c r="A31" s="94">
        <f>ROUNDUP('LM(2)518x PSR flyback converter'!E18/10,0)</f>
        <v>1</v>
      </c>
      <c r="B31" s="106" t="s">
        <v>120</v>
      </c>
      <c r="C31" s="109">
        <f>Cin</f>
        <v>10</v>
      </c>
      <c r="D31" s="680" t="str">
        <f>IF(VIN_max&gt;35, "Capacitor, Ceramic, "&amp;'Variable Mgmt'!B226&amp;", 100V, X7R, 10%", "Capacitor, Ceramic, "&amp;'Variable Mgmt'!B226&amp;", 50V, X7R, 10%")</f>
        <v>Capacitor, Ceramic, 10µF,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5">
      <c r="A32" s="94">
        <v>1</v>
      </c>
      <c r="B32" s="106" t="s">
        <v>121</v>
      </c>
      <c r="C32" s="109">
        <f>Cout</f>
        <v>20</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20µF,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5">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5">
      <c r="A34" s="96" t="str">
        <f>CHOOSE(MODE_SS, "1", "-", "1")</f>
        <v>-</v>
      </c>
      <c r="B34" s="97" t="str">
        <f>CHOOSE(MODE_SS, "Css", "-")</f>
        <v>-</v>
      </c>
      <c r="C34" s="543" t="str">
        <f>CHOOSE(MODE_SS, 'Standard Value Calculator'!B4*1000000000&amp;"nF", "-", "100k")</f>
        <v>-</v>
      </c>
      <c r="D34" s="698" t="str">
        <f>CHOOSE(MODE_SS, "Capacitor, Ceramic, "&amp;'Standard Value Calculator'!B4*1000000000&amp;"nF"&amp;", 16V, X7R, 10%", "-")</f>
        <v>-</v>
      </c>
      <c r="E34" s="699"/>
      <c r="F34" s="699"/>
      <c r="G34" s="99" t="s">
        <v>119</v>
      </c>
      <c r="H34" s="100" t="str">
        <f>CHOOSE(MODE_SS, "Std", "-")</f>
        <v>-</v>
      </c>
      <c r="I34" s="414" t="str">
        <f>CHOOSE(MODE_SS, "Std", "-")</f>
        <v>-</v>
      </c>
      <c r="J34" s="422" t="str">
        <f>CHOOSE(MODE_SS,CHOOSE(Q34,'Variable Mgmt'!T64,'Variable Mgmt'!T65,'Variable Mgmt'!T66),"-",CHOOSE(Q34,'Variable Mgmt'!T64,'Variable Mgmt'!T65,'Variable Mgmt'!T66))</f>
        <v>-</v>
      </c>
      <c r="K34" s="420" t="str">
        <f>CHOOSE(MODE_SS, CHOOSE(Q34,'Variable Mgmt'!U64,'Variable Mgmt'!U65,'Variable Mgmt'!U66), "-", CHOOSE(Q34,'Variable Mgmt'!U64,'Variable Mgmt'!U65,'Variable Mgmt'!U66))</f>
        <v>-</v>
      </c>
      <c r="L34" s="425"/>
      <c r="O34" s="639"/>
      <c r="P34" s="641"/>
      <c r="Q34" s="643">
        <v>1</v>
      </c>
      <c r="R34" s="639"/>
      <c r="S34" s="639"/>
      <c r="T34" s="639"/>
      <c r="U34" s="639"/>
    </row>
    <row r="35" spans="1:21" s="95" customFormat="1" ht="17.100000000000001" customHeight="1" x14ac:dyDescent="0.25">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5">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5">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5">
      <c r="A38" s="101">
        <v>1</v>
      </c>
      <c r="B38" s="102" t="s">
        <v>636</v>
      </c>
      <c r="C38" s="103" t="str">
        <f>Vout*Nps*1.3&amp;"V"</f>
        <v>26V</v>
      </c>
      <c r="D38" s="687" t="str">
        <f>"Clamp Circuit Diode, Zener, "&amp;ROUND(Vout*Nps*13,0)/10&amp;"V"</f>
        <v>Clamp Circuit Diode, Zener, 26V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5">
      <c r="A39" s="101">
        <v>1</v>
      </c>
      <c r="B39" s="102" t="s">
        <v>648</v>
      </c>
      <c r="C39" s="103" t="str">
        <f>Vout*1.1&amp;"V"</f>
        <v>22V</v>
      </c>
      <c r="D39" s="541" t="str">
        <f>"Output Clamp Diode, Zener, "&amp;(ROUND(Vout*11.25,0)/10)&amp;"V"</f>
        <v>Output Clamp Diode, Zener, 22.5V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5">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5">
      <c r="A41" s="96">
        <v>1</v>
      </c>
      <c r="B41" s="97" t="s">
        <v>536</v>
      </c>
      <c r="C41" s="98">
        <f>Rfb/1000</f>
        <v>203.2</v>
      </c>
      <c r="D41" s="685">
        <f>C41</f>
        <v>203.2</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5">
      <c r="A42" s="96" t="str">
        <f>CHOOSE(MODE_UVLO, "1", "-")</f>
        <v>-</v>
      </c>
      <c r="B42" s="97" t="s">
        <v>126</v>
      </c>
      <c r="C42" s="396" t="str">
        <f>CHOOSE(MODE_UVLO, 'Variable Mgmt'!H245, "-")</f>
        <v>-</v>
      </c>
      <c r="D42" s="694" t="str">
        <f>CHOOSE(MODE_UVLO, "Resistor, Chip, "&amp;'Variable Mgmt'!C245&amp;", 1/16W, 1%", "-")</f>
        <v>-</v>
      </c>
      <c r="E42" s="695"/>
      <c r="F42" s="695"/>
      <c r="G42" s="99" t="s">
        <v>119</v>
      </c>
      <c r="H42" s="100" t="str">
        <f t="shared" ref="H42:I43" si="1">CHOOSE(MODE_UVLO, "Std", "-")</f>
        <v>-</v>
      </c>
      <c r="I42" s="414" t="str">
        <f t="shared" si="1"/>
        <v>-</v>
      </c>
      <c r="J42" s="422" t="str">
        <f>CHOOSE(MODE_UVLO, CHOOSE(Q42,'Variable Mgmt'!T64,'Variable Mgmt'!T65,'Variable Mgmt'!T66), "-")</f>
        <v>-</v>
      </c>
      <c r="K42" s="420" t="str">
        <f>CHOOSE(MODE_UVLO, CHOOSE(Q42,'Variable Mgmt'!U64,'Variable Mgmt'!U65,'Variable Mgmt'!U66,'Variable Mgmt'!U67,'Variable Mgmt'!U68),"-")</f>
        <v>-</v>
      </c>
      <c r="L42" s="425"/>
      <c r="O42" s="639"/>
      <c r="P42" s="641"/>
      <c r="Q42" s="643">
        <v>1</v>
      </c>
      <c r="R42" s="639"/>
      <c r="S42" s="639"/>
      <c r="T42" s="639"/>
      <c r="U42" s="639"/>
    </row>
    <row r="43" spans="1:21" s="95" customFormat="1" ht="17.100000000000001" customHeight="1" x14ac:dyDescent="0.25">
      <c r="A43" s="96" t="str">
        <f>CHOOSE(MODE_UVLO, "1", "-")</f>
        <v>-</v>
      </c>
      <c r="B43" s="97" t="s">
        <v>127</v>
      </c>
      <c r="C43" s="396" t="str">
        <f>CHOOSE(MODE_UVLO, 'Variable Mgmt'!H246, "-")</f>
        <v>-</v>
      </c>
      <c r="D43" s="694" t="str">
        <f>CHOOSE(MODE_UVLO, "Resistor, Chip, "&amp;'Variable Mgmt'!C246&amp;", 1/16W, 1%", "-")</f>
        <v>-</v>
      </c>
      <c r="E43" s="695"/>
      <c r="F43" s="695"/>
      <c r="G43" s="99" t="s">
        <v>119</v>
      </c>
      <c r="H43" s="100" t="str">
        <f t="shared" si="1"/>
        <v>-</v>
      </c>
      <c r="I43" s="414" t="str">
        <f t="shared" si="1"/>
        <v>-</v>
      </c>
      <c r="J43" s="422" t="str">
        <f>CHOOSE(MODE_UVLO, CHOOSE(Q43,'Variable Mgmt'!T64,'Variable Mgmt'!T65,'Variable Mgmt'!T66), "-")</f>
        <v>-</v>
      </c>
      <c r="K43" s="420" t="str">
        <f>CHOOSE(MODE_UVLO, CHOOSE(Q43,'Variable Mgmt'!U64,'Variable Mgmt'!U65,'Variable Mgmt'!U66,'Variable Mgmt'!U67,'Variable Mgmt'!U68),"-")</f>
        <v>-</v>
      </c>
      <c r="L43" s="425"/>
      <c r="O43" s="639"/>
      <c r="P43" s="641"/>
      <c r="Q43" s="643">
        <v>1</v>
      </c>
      <c r="R43" s="639"/>
      <c r="S43" s="639"/>
      <c r="T43" s="639"/>
      <c r="U43" s="639"/>
    </row>
    <row r="44" spans="1:21" s="95" customFormat="1" ht="17.100000000000001" customHeight="1" x14ac:dyDescent="0.25">
      <c r="A44" s="96" t="str">
        <f>CHOOSE(MODE_TC, "1", "-")</f>
        <v>-</v>
      </c>
      <c r="B44" s="97" t="s">
        <v>527</v>
      </c>
      <c r="C44" s="98" t="str">
        <f>CHOOSE(MODE_TC, RTC, "-")</f>
        <v>-</v>
      </c>
      <c r="D44" s="685" t="str">
        <f>CHOOSE(MODE_TC, "Resistor, Chip, "&amp;'Variable Mgmt'!B241&amp;", 1/16W, 1%", "-")</f>
        <v>-</v>
      </c>
      <c r="E44" s="686"/>
      <c r="F44" s="686"/>
      <c r="G44" s="99" t="s">
        <v>119</v>
      </c>
      <c r="H44" s="100" t="str">
        <f>CHOOSE(MODE_TC, "Std", "-")</f>
        <v>-</v>
      </c>
      <c r="I44" s="414" t="str">
        <f>CHOOSE(MODE_TC, "Std", "-")</f>
        <v>-</v>
      </c>
      <c r="J44" s="422" t="str">
        <f>CHOOSE(MODE_TC, CHOOSE(Q44,'Variable Mgmt'!T64,'Variable Mgmt'!T385,'Variable Mgmt'!T66), "-")</f>
        <v>-</v>
      </c>
      <c r="K44" s="420" t="str">
        <f>CHOOSE(MODE_TC, CHOOSE(Q44,'Variable Mgmt'!U64,'Variable Mgmt'!U65,'Variable Mgmt'!U66,'Variable Mgmt'!U67,'Variable Mgmt'!U68),"-")</f>
        <v>-</v>
      </c>
      <c r="L44" s="425"/>
      <c r="O44" s="639"/>
      <c r="P44" s="641"/>
      <c r="Q44" s="643">
        <v>1</v>
      </c>
      <c r="R44" s="639"/>
      <c r="S44" s="639"/>
      <c r="T44" s="639"/>
      <c r="U44" s="639"/>
    </row>
    <row r="45" spans="1:21" s="540" customFormat="1" ht="16.5" customHeight="1" x14ac:dyDescent="0.25">
      <c r="A45" s="101">
        <v>1</v>
      </c>
      <c r="B45" s="102" t="s">
        <v>535</v>
      </c>
      <c r="C45" s="536">
        <f>'LM(2)518x PSR flyback converter'!L7</f>
        <v>150</v>
      </c>
      <c r="D45" s="691" t="str">
        <f>"Transformer, "&amp;L*1000000&amp;"µH, "&amp;'Variable Mgmt'!W52&amp;", "&amp;Rdcr_pri*1000&amp;"mΩ Pri DCR, "&amp;Isat&amp;"A Isat"</f>
        <v>Transformer, 150µH, 1 : 1, 800mΩ Pri DCR, 1A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5">
      <c r="A46" s="399">
        <v>1</v>
      </c>
      <c r="B46" s="404" t="s">
        <v>128</v>
      </c>
      <c r="C46" s="424" t="str">
        <f>CHOOSE(VARIANT, "LM5180", "LM5181", "LM25180", "LM25183", "LM25184")</f>
        <v>LM5181</v>
      </c>
      <c r="D46" s="405" t="str">
        <f>CHOOSE(VARIANT, "IC, LM5180, PSR Flyback Converter, 4.5V–65V Input", "IC, LM5181, PSR Flyback Converter, 4.5V–65V Input", "IC, LM25180, PSR Flyback Converter, 4.5V–42V Input", "IC, LM25183, PSR Flyback Converter, 4.5V–42V Input", "IC, LM25184, PSR Flyback Converter, 4.5V–42V Input")</f>
        <v>IC, LM5181, PSR Flyback Converter, 4.5V–65V Input</v>
      </c>
      <c r="E46" s="406"/>
      <c r="F46" s="407"/>
      <c r="G46" s="403" t="s">
        <v>534</v>
      </c>
      <c r="H46" s="403" t="str">
        <f>CHOOSE(VARIANT, "LM5180NGUR", "LM5181NGUR", "LM25180NGUR", "LM25183NGUR", "LM25184NGUR")</f>
        <v>LM5181NGUR</v>
      </c>
      <c r="I46" s="405" t="s">
        <v>357</v>
      </c>
      <c r="J46" s="423" t="s">
        <v>355</v>
      </c>
      <c r="K46" s="421">
        <v>16</v>
      </c>
      <c r="L46" s="402"/>
      <c r="M46" s="402"/>
      <c r="N46" s="95"/>
      <c r="Q46" s="432"/>
    </row>
    <row r="47" spans="1:21" ht="17.100000000000001" customHeight="1" x14ac:dyDescent="0.25">
      <c r="J47" s="95"/>
      <c r="K47" s="412"/>
      <c r="L47" s="402"/>
      <c r="M47" s="402"/>
      <c r="N47" s="95"/>
    </row>
    <row r="48" spans="1:21" ht="17.25" customHeight="1" x14ac:dyDescent="0.3">
      <c r="H48" s="679" t="s">
        <v>359</v>
      </c>
      <c r="I48" s="679"/>
      <c r="J48" s="679"/>
      <c r="K48" s="429">
        <f>SUM(K31:K46)*1.25</f>
        <v>199.75</v>
      </c>
      <c r="L48" s="433" t="s">
        <v>360</v>
      </c>
      <c r="M48" s="430">
        <f>K48/25.4/25.4</f>
        <v>0.30961311922623852</v>
      </c>
      <c r="N48" s="433" t="s">
        <v>358</v>
      </c>
    </row>
    <row r="49" spans="1:14" ht="17.100000000000001" customHeight="1" x14ac:dyDescent="0.25">
      <c r="J49" s="416"/>
      <c r="K49" s="417"/>
      <c r="L49" s="418"/>
      <c r="M49" s="419"/>
      <c r="N49" s="418"/>
    </row>
    <row r="50" spans="1:14" ht="20.25" customHeight="1" x14ac:dyDescent="0.25">
      <c r="A50" s="411" t="s">
        <v>137</v>
      </c>
    </row>
    <row r="51" spans="1:14" x14ac:dyDescent="0.25">
      <c r="A51" s="92" t="s">
        <v>819</v>
      </c>
    </row>
    <row r="52" spans="1:14" x14ac:dyDescent="0.25">
      <c r="A52" s="92" t="s">
        <v>820</v>
      </c>
      <c r="K52" s="410"/>
    </row>
    <row r="53" spans="1:14" x14ac:dyDescent="0.25">
      <c r="A53" s="92" t="s">
        <v>821</v>
      </c>
    </row>
    <row r="54" spans="1:14" x14ac:dyDescent="0.25">
      <c r="A54" s="92" t="s">
        <v>822</v>
      </c>
    </row>
    <row r="55" spans="1:14" x14ac:dyDescent="0.25">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22860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22860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22860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22860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22860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22860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22860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22860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22860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22860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22860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22860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22860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899160</xdr:colOff>
                    <xdr:row>32</xdr:row>
                    <xdr:rowOff>22860</xdr:rowOff>
                  </from>
                  <to>
                    <xdr:col>6</xdr:col>
                    <xdr:colOff>868680</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22860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topLeftCell="A7" zoomScale="70" zoomScaleNormal="70" workbookViewId="0">
      <selection sqref="A1:Q1"/>
    </sheetView>
  </sheetViews>
  <sheetFormatPr defaultColWidth="9.33203125" defaultRowHeight="13.2" x14ac:dyDescent="0.25"/>
  <cols>
    <col min="1" max="13" width="9.33203125" style="65"/>
    <col min="14" max="14" width="11.6640625" style="65" customWidth="1"/>
    <col min="15" max="16" width="9.33203125" style="65"/>
    <col min="17" max="17" width="15.6640625" style="65" customWidth="1"/>
    <col min="18" max="16384" width="9.33203125" style="65"/>
  </cols>
  <sheetData>
    <row r="1" spans="1:25" s="58" customFormat="1" ht="47.25" customHeight="1" x14ac:dyDescent="0.3">
      <c r="A1" s="700" t="s">
        <v>817</v>
      </c>
      <c r="B1" s="701"/>
      <c r="C1" s="701"/>
      <c r="D1" s="701"/>
      <c r="E1" s="701"/>
      <c r="F1" s="701"/>
      <c r="G1" s="701"/>
      <c r="H1" s="701"/>
      <c r="I1" s="701"/>
      <c r="J1" s="701"/>
      <c r="K1" s="701"/>
      <c r="L1" s="701"/>
      <c r="M1" s="701"/>
      <c r="N1" s="701"/>
      <c r="O1" s="701"/>
      <c r="P1" s="701"/>
      <c r="Q1" s="701"/>
    </row>
    <row r="6" spans="1:25" ht="20.399999999999999" x14ac:dyDescent="0.35">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3.2" x14ac:dyDescent="0.25"/>
  <cols>
    <col min="1" max="1" width="40.44140625" customWidth="1"/>
    <col min="2" max="2" width="11.6640625" customWidth="1"/>
    <col min="3" max="3" width="9.44140625" style="3" customWidth="1"/>
    <col min="4" max="4" width="10.33203125" customWidth="1"/>
    <col min="5" max="5" width="11.5546875" customWidth="1"/>
    <col min="6" max="6" width="14.6640625" customWidth="1"/>
    <col min="7" max="7" width="12.44140625" bestFit="1" customWidth="1"/>
    <col min="8" max="8" width="20.33203125" customWidth="1"/>
    <col min="9" max="9" width="14.44140625" customWidth="1"/>
    <col min="10" max="10" width="12.44140625" bestFit="1" customWidth="1"/>
    <col min="11" max="11" width="12" customWidth="1"/>
    <col min="12" max="12" width="8.6640625" customWidth="1"/>
    <col min="13" max="13" width="7" customWidth="1"/>
    <col min="14" max="14" width="9.33203125" customWidth="1"/>
    <col min="16" max="16" width="11.6640625" customWidth="1"/>
    <col min="17" max="17" width="11" customWidth="1"/>
    <col min="18" max="18" width="13.6640625" customWidth="1"/>
    <col min="19" max="19" width="5.44140625" customWidth="1"/>
    <col min="20" max="20" width="16.33203125" customWidth="1"/>
    <col min="22" max="22" width="9.6640625" customWidth="1"/>
    <col min="23" max="23" width="11.33203125" customWidth="1"/>
    <col min="24" max="24" width="5.6640625" customWidth="1"/>
    <col min="26" max="26" width="7.6640625" customWidth="1"/>
  </cols>
  <sheetData>
    <row r="1" spans="1:18" ht="30.75" customHeight="1" x14ac:dyDescent="0.5">
      <c r="A1" s="703" t="s">
        <v>171</v>
      </c>
      <c r="B1" s="703"/>
      <c r="C1" s="703"/>
      <c r="D1" s="703"/>
      <c r="E1" s="703"/>
      <c r="F1" s="703"/>
      <c r="G1" s="703"/>
      <c r="H1" s="703"/>
      <c r="I1" s="703"/>
    </row>
    <row r="2" spans="1:18" ht="12" customHeight="1" x14ac:dyDescent="0.25">
      <c r="A2" s="14"/>
      <c r="B2" s="14" t="s">
        <v>81</v>
      </c>
      <c r="C2" s="15"/>
      <c r="E2" s="14"/>
      <c r="F2" s="14"/>
      <c r="G2" s="14"/>
      <c r="H2" s="14"/>
      <c r="I2" s="14"/>
    </row>
    <row r="3" spans="1:18" ht="11.25" customHeight="1" x14ac:dyDescent="0.25">
      <c r="A3" s="14"/>
      <c r="B3" s="14" t="s">
        <v>100</v>
      </c>
      <c r="C3" s="16"/>
      <c r="E3" s="14"/>
      <c r="F3" s="14"/>
      <c r="G3" s="14"/>
      <c r="H3" s="14"/>
      <c r="I3" s="14"/>
    </row>
    <row r="4" spans="1:18" ht="11.25" customHeight="1" x14ac:dyDescent="0.25">
      <c r="A4" s="14"/>
      <c r="B4" s="14" t="s">
        <v>82</v>
      </c>
      <c r="C4" s="17"/>
      <c r="E4" s="14"/>
      <c r="F4" s="14"/>
      <c r="G4" s="14"/>
      <c r="H4" s="14"/>
      <c r="I4" s="14"/>
    </row>
    <row r="5" spans="1:18" x14ac:dyDescent="0.25">
      <c r="A5" s="3" t="s">
        <v>19</v>
      </c>
      <c r="B5" s="3" t="s">
        <v>6</v>
      </c>
      <c r="C5" s="3" t="s">
        <v>7</v>
      </c>
      <c r="E5" s="702" t="s">
        <v>9</v>
      </c>
      <c r="F5" s="702"/>
      <c r="G5" s="702"/>
      <c r="H5" s="702"/>
      <c r="I5" s="3" t="s">
        <v>173</v>
      </c>
    </row>
    <row r="6" spans="1:18" ht="16.2" thickBot="1" x14ac:dyDescent="0.35">
      <c r="A6" s="39" t="s">
        <v>61</v>
      </c>
      <c r="B6" s="3"/>
      <c r="D6" s="3"/>
      <c r="E6" s="14"/>
      <c r="F6" s="14"/>
      <c r="G6" s="14"/>
      <c r="H6" s="14"/>
      <c r="I6" s="3"/>
    </row>
    <row r="7" spans="1:18" x14ac:dyDescent="0.25">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20 V, VOUT = 20 V, IOUT = 0.1 A</v>
      </c>
    </row>
    <row r="8" spans="1:18" x14ac:dyDescent="0.25">
      <c r="A8" s="89" t="s">
        <v>143</v>
      </c>
      <c r="B8" s="8">
        <f>'LM(2)518x PSR flyback converter'!E7</f>
        <v>20</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20 V, VOUT1 = 20 V, IOUT1 = 0.1 A, VOUT2 = -16 V, IOUT2 = -0.1 A</v>
      </c>
    </row>
    <row r="9" spans="1:18" x14ac:dyDescent="0.25">
      <c r="A9" s="89" t="s">
        <v>144</v>
      </c>
      <c r="B9" s="8">
        <f>'LM(2)518x PSR flyback converter'!E8</f>
        <v>21</v>
      </c>
      <c r="C9" t="s">
        <v>0</v>
      </c>
      <c r="D9" s="59" t="s">
        <v>147</v>
      </c>
      <c r="F9" s="141"/>
      <c r="I9" s="20"/>
    </row>
    <row r="10" spans="1:18" x14ac:dyDescent="0.25">
      <c r="A10" s="89"/>
      <c r="B10" s="180"/>
      <c r="C10"/>
      <c r="D10" s="59"/>
      <c r="I10" s="20"/>
      <c r="P10" s="135" t="s">
        <v>790</v>
      </c>
      <c r="Q10" s="141">
        <v>1</v>
      </c>
    </row>
    <row r="11" spans="1:18" x14ac:dyDescent="0.25">
      <c r="A11" s="19" t="s">
        <v>4</v>
      </c>
      <c r="B11" s="8">
        <f>'LM(2)518x PSR flyback converter'!E10</f>
        <v>20</v>
      </c>
      <c r="C11" t="s">
        <v>0</v>
      </c>
      <c r="D11" s="59" t="s">
        <v>576</v>
      </c>
      <c r="G11">
        <f>(Vout+Vfwd1)*Nps</f>
        <v>20.32</v>
      </c>
      <c r="I11" s="20">
        <v>1</v>
      </c>
      <c r="P11" s="135" t="s">
        <v>801</v>
      </c>
      <c r="Q11" s="141">
        <v>2</v>
      </c>
    </row>
    <row r="12" spans="1:18" x14ac:dyDescent="0.25">
      <c r="A12" s="19" t="s">
        <v>5</v>
      </c>
      <c r="B12" s="8">
        <f>'LM(2)518x PSR flyback converter'!E11</f>
        <v>0.1</v>
      </c>
      <c r="C12" s="59" t="s">
        <v>1</v>
      </c>
      <c r="D12" s="59" t="s">
        <v>663</v>
      </c>
      <c r="I12" s="20">
        <v>1</v>
      </c>
      <c r="L12" s="59"/>
      <c r="P12" s="135" t="s">
        <v>791</v>
      </c>
      <c r="Q12" s="141">
        <v>3</v>
      </c>
    </row>
    <row r="13" spans="1:18" x14ac:dyDescent="0.25">
      <c r="A13" s="89" t="s">
        <v>168</v>
      </c>
      <c r="B13" s="134">
        <f>Vout/Iout</f>
        <v>200</v>
      </c>
      <c r="C13" s="91" t="s">
        <v>45</v>
      </c>
      <c r="D13" s="59" t="s">
        <v>169</v>
      </c>
      <c r="I13" s="20"/>
      <c r="P13" s="135" t="s">
        <v>802</v>
      </c>
      <c r="Q13" s="141">
        <v>4</v>
      </c>
    </row>
    <row r="14" spans="1:18" x14ac:dyDescent="0.25">
      <c r="A14" s="89" t="s">
        <v>152</v>
      </c>
      <c r="B14" s="134">
        <f>Vout*Iout</f>
        <v>2</v>
      </c>
      <c r="C14" t="s">
        <v>45</v>
      </c>
      <c r="D14" s="59" t="s">
        <v>158</v>
      </c>
      <c r="I14" s="20"/>
      <c r="L14" s="59"/>
      <c r="P14" s="135" t="s">
        <v>803</v>
      </c>
      <c r="Q14" s="141">
        <v>5</v>
      </c>
    </row>
    <row r="15" spans="1:18" x14ac:dyDescent="0.25">
      <c r="B15" s="5"/>
      <c r="C15"/>
      <c r="D15" s="59"/>
      <c r="I15" s="20"/>
      <c r="L15" s="59"/>
      <c r="O15" s="319" t="s">
        <v>789</v>
      </c>
      <c r="P15" s="138" t="str">
        <f>CHOOSE(VARIANT, "LM5180", "LM5181", "LM25180", "LM25183", "LM25184")</f>
        <v>LM5181</v>
      </c>
      <c r="Q15" s="319">
        <v>2</v>
      </c>
      <c r="R15" s="5"/>
    </row>
    <row r="16" spans="1:18" x14ac:dyDescent="0.25">
      <c r="A16" s="89" t="s">
        <v>621</v>
      </c>
      <c r="B16" s="500">
        <f>ABS('LM(2)518x PSR flyback converter'!E12)</f>
        <v>16</v>
      </c>
      <c r="C16" t="s">
        <v>0</v>
      </c>
      <c r="D16" s="59" t="s">
        <v>578</v>
      </c>
      <c r="I16" s="20"/>
      <c r="L16" s="59"/>
      <c r="O16" s="319" t="s">
        <v>792</v>
      </c>
      <c r="P16" s="138">
        <f>CHOOSE(VARIANT, 65, 65, 42, 42, 42)</f>
        <v>65</v>
      </c>
      <c r="Q16" t="s">
        <v>0</v>
      </c>
    </row>
    <row r="17" spans="1:23" x14ac:dyDescent="0.25">
      <c r="A17" s="89" t="s">
        <v>622</v>
      </c>
      <c r="B17" s="534">
        <f>'LM(2)518x PSR flyback converter'!E12</f>
        <v>-16</v>
      </c>
      <c r="C17" t="s">
        <v>0</v>
      </c>
      <c r="D17" s="59"/>
      <c r="I17" s="20"/>
      <c r="L17" s="59"/>
      <c r="O17" s="384" t="s">
        <v>851</v>
      </c>
      <c r="P17">
        <f>CHOOSE(VARIANT, 100, 100, 70, 70, 70)</f>
        <v>100</v>
      </c>
      <c r="Q17" s="59" t="s">
        <v>0</v>
      </c>
    </row>
    <row r="18" spans="1:23" x14ac:dyDescent="0.25">
      <c r="A18" s="89" t="s">
        <v>508</v>
      </c>
      <c r="B18" s="500">
        <f>ABS('LM(2)518x PSR flyback converter'!E13)</f>
        <v>0.1</v>
      </c>
      <c r="C18" s="59" t="s">
        <v>1</v>
      </c>
      <c r="D18" s="59" t="s">
        <v>577</v>
      </c>
      <c r="I18" s="20"/>
      <c r="L18" s="59"/>
    </row>
    <row r="19" spans="1:23" x14ac:dyDescent="0.25">
      <c r="A19" s="59" t="s">
        <v>662</v>
      </c>
      <c r="B19">
        <f>Iout2*SIGN(Vout2_actual)</f>
        <v>-0.1</v>
      </c>
      <c r="C19" s="59" t="s">
        <v>1</v>
      </c>
      <c r="I19" s="20"/>
      <c r="L19" s="59"/>
      <c r="P19" s="3" t="s">
        <v>784</v>
      </c>
    </row>
    <row r="20" spans="1:23" x14ac:dyDescent="0.25">
      <c r="A20" s="89" t="s">
        <v>509</v>
      </c>
      <c r="B20" s="134">
        <f>ABS(Vout2/Iout2)</f>
        <v>160</v>
      </c>
      <c r="C20" s="91" t="s">
        <v>45</v>
      </c>
      <c r="D20" s="59" t="s">
        <v>511</v>
      </c>
      <c r="I20" s="20"/>
      <c r="K20" s="59" t="s">
        <v>542</v>
      </c>
      <c r="L20" s="59" t="s">
        <v>543</v>
      </c>
      <c r="P20" s="3" t="s">
        <v>783</v>
      </c>
      <c r="Q20">
        <v>1</v>
      </c>
    </row>
    <row r="21" spans="1:23" x14ac:dyDescent="0.25">
      <c r="A21" s="89" t="s">
        <v>510</v>
      </c>
      <c r="B21" s="134">
        <f>ABS(Vout2*Iout2)</f>
        <v>1.6</v>
      </c>
      <c r="C21" t="s">
        <v>45</v>
      </c>
      <c r="D21" s="59" t="s">
        <v>512</v>
      </c>
      <c r="I21" s="20"/>
      <c r="K21">
        <v>5</v>
      </c>
      <c r="L21" s="59">
        <v>-5</v>
      </c>
      <c r="P21" s="3" t="s">
        <v>782</v>
      </c>
      <c r="Q21">
        <v>2</v>
      </c>
    </row>
    <row r="22" spans="1:23" x14ac:dyDescent="0.25">
      <c r="A22" s="89" t="s">
        <v>513</v>
      </c>
      <c r="B22" s="134">
        <f>CHOOSE(MODE, Pout, Pout + Pout2)</f>
        <v>2</v>
      </c>
      <c r="C22" t="s">
        <v>45</v>
      </c>
      <c r="D22" s="59" t="s">
        <v>514</v>
      </c>
      <c r="I22" s="20"/>
      <c r="K22">
        <v>0.2</v>
      </c>
      <c r="L22" s="59">
        <v>0.2</v>
      </c>
      <c r="Q22" s="3">
        <v>2</v>
      </c>
    </row>
    <row r="23" spans="1:23" x14ac:dyDescent="0.25">
      <c r="A23" s="89"/>
      <c r="B23" s="5"/>
      <c r="C23"/>
      <c r="D23" s="59"/>
      <c r="I23" s="20"/>
      <c r="L23" s="59"/>
    </row>
    <row r="24" spans="1:23" x14ac:dyDescent="0.25">
      <c r="A24" s="29" t="str">
        <f>CHOOSE(MODE, "Turns Ratio, PRI : SEC", "Turns Ratio, PRI : SEC1")</f>
        <v>Turns Ratio, PRI : SEC</v>
      </c>
      <c r="B24" s="90" t="str">
        <f>Nps</f>
        <v>1</v>
      </c>
      <c r="C24"/>
      <c r="D24" s="59" t="str">
        <f>CHOOSE(MODE, "TR primary-secondary (single output) = Np/Ns", "TR primary-secondary1 (dual output) = Np/Nsec1")</f>
        <v>TR primary-secondary (single output) = Np/Ns</v>
      </c>
      <c r="I24" s="20"/>
      <c r="L24" s="59"/>
    </row>
    <row r="25" spans="1:23" x14ac:dyDescent="0.25">
      <c r="A25" s="29" t="s">
        <v>590</v>
      </c>
      <c r="B25" s="153">
        <f>Npri_sec2</f>
        <v>1.2450980392156863</v>
      </c>
      <c r="D25" s="59" t="s">
        <v>591</v>
      </c>
      <c r="I25" s="20"/>
      <c r="L25" s="59"/>
    </row>
    <row r="26" spans="1:23" x14ac:dyDescent="0.25">
      <c r="A26" s="29" t="s">
        <v>603</v>
      </c>
      <c r="B26" s="533">
        <f>Nsec1sec2</f>
        <v>0.80314960629921262</v>
      </c>
      <c r="D26" s="59" t="s">
        <v>592</v>
      </c>
      <c r="I26" s="20"/>
      <c r="L26" s="59"/>
      <c r="R26" s="138" t="s">
        <v>396</v>
      </c>
      <c r="V26" s="138" t="s">
        <v>396</v>
      </c>
    </row>
    <row r="27" spans="1:23" x14ac:dyDescent="0.25">
      <c r="I27" s="20"/>
      <c r="K27" s="138" t="s">
        <v>541</v>
      </c>
      <c r="R27" s="138" t="s">
        <v>585</v>
      </c>
      <c r="V27" s="138" t="s">
        <v>586</v>
      </c>
    </row>
    <row r="28" spans="1:23" x14ac:dyDescent="0.25">
      <c r="A28" s="59" t="s">
        <v>623</v>
      </c>
      <c r="B28" s="147">
        <f>Vout+VIN_max/Nps</f>
        <v>41</v>
      </c>
      <c r="C28" s="59" t="s">
        <v>0</v>
      </c>
      <c r="I28" s="20"/>
      <c r="K28" s="59" t="s">
        <v>538</v>
      </c>
      <c r="L28">
        <v>1</v>
      </c>
      <c r="R28" t="str">
        <f>"5 : 1"</f>
        <v>5 : 1</v>
      </c>
      <c r="S28">
        <v>1</v>
      </c>
      <c r="V28" t="str">
        <f>"5 : 1"</f>
        <v>5 : 1</v>
      </c>
      <c r="W28">
        <v>1</v>
      </c>
    </row>
    <row r="29" spans="1:23" x14ac:dyDescent="0.25">
      <c r="I29" s="20"/>
      <c r="K29" s="59" t="s">
        <v>539</v>
      </c>
      <c r="L29">
        <v>2</v>
      </c>
      <c r="R29" t="str">
        <f>"4 : 1"</f>
        <v>4 : 1</v>
      </c>
      <c r="S29">
        <v>2</v>
      </c>
      <c r="V29" t="str">
        <f>"4 : 1"</f>
        <v>4 : 1</v>
      </c>
      <c r="W29">
        <v>2</v>
      </c>
    </row>
    <row r="30" spans="1:23" x14ac:dyDescent="0.25">
      <c r="A30" s="89" t="s">
        <v>443</v>
      </c>
      <c r="B30" s="317">
        <f>1%*Vout*1000</f>
        <v>200</v>
      </c>
      <c r="C30" t="s">
        <v>149</v>
      </c>
      <c r="D30" s="59" t="s">
        <v>461</v>
      </c>
      <c r="I30" s="20"/>
      <c r="K30" s="59" t="s">
        <v>540</v>
      </c>
      <c r="L30">
        <v>3</v>
      </c>
      <c r="R30" t="str">
        <f>"3 : 1"</f>
        <v>3 : 1</v>
      </c>
      <c r="S30">
        <v>3</v>
      </c>
      <c r="V30" t="str">
        <f>"3 : 1"</f>
        <v>3 : 1</v>
      </c>
      <c r="W30">
        <v>3</v>
      </c>
    </row>
    <row r="31" spans="1:23" x14ac:dyDescent="0.25">
      <c r="A31" s="89"/>
      <c r="B31" s="317"/>
      <c r="C31"/>
      <c r="D31" s="59"/>
      <c r="I31" s="20"/>
      <c r="K31" s="59"/>
      <c r="R31" t="str">
        <f>"2.5 : 1"</f>
        <v>2.5 : 1</v>
      </c>
      <c r="S31">
        <v>4</v>
      </c>
      <c r="V31" t="str">
        <f>"2.5 : 1"</f>
        <v>2.5 : 1</v>
      </c>
      <c r="W31">
        <v>4</v>
      </c>
    </row>
    <row r="32" spans="1:23" x14ac:dyDescent="0.25">
      <c r="A32" s="89" t="s">
        <v>560</v>
      </c>
      <c r="B32" s="317">
        <f>1%*Vout2*1000</f>
        <v>160</v>
      </c>
      <c r="C32" t="s">
        <v>149</v>
      </c>
      <c r="D32" s="59" t="s">
        <v>559</v>
      </c>
      <c r="I32" s="20"/>
      <c r="Q32" s="453"/>
      <c r="R32" t="str">
        <f>"2 : 1"</f>
        <v>2 : 1</v>
      </c>
      <c r="S32">
        <v>5</v>
      </c>
      <c r="V32" t="str">
        <f>"2 : 1"</f>
        <v>2 : 1</v>
      </c>
      <c r="W32">
        <v>5</v>
      </c>
    </row>
    <row r="33" spans="1:23" x14ac:dyDescent="0.25">
      <c r="A33" s="59"/>
      <c r="B33" s="317"/>
      <c r="C33"/>
      <c r="D33" s="59"/>
      <c r="I33" s="20"/>
      <c r="Q33" s="453"/>
      <c r="R33" t="str">
        <f>"1.8 : 1"</f>
        <v>1.8 : 1</v>
      </c>
      <c r="S33">
        <v>6</v>
      </c>
      <c r="V33" t="str">
        <f>"1.8 : 1"</f>
        <v>1.8 : 1</v>
      </c>
      <c r="W33">
        <v>6</v>
      </c>
    </row>
    <row r="34" spans="1:23" x14ac:dyDescent="0.25">
      <c r="I34" s="20"/>
      <c r="R34" t="str">
        <f>"1.5 : 1"</f>
        <v>1.5 : 1</v>
      </c>
      <c r="S34">
        <v>7</v>
      </c>
      <c r="V34" t="str">
        <f>"1.5 : 1"</f>
        <v>1.5 : 1</v>
      </c>
      <c r="W34">
        <v>7</v>
      </c>
    </row>
    <row r="35" spans="1:23" x14ac:dyDescent="0.25">
      <c r="I35" s="20"/>
      <c r="R35" s="671" t="s">
        <v>856</v>
      </c>
      <c r="S35">
        <v>8</v>
      </c>
      <c r="V35" s="671" t="s">
        <v>856</v>
      </c>
      <c r="W35">
        <v>8</v>
      </c>
    </row>
    <row r="36" spans="1:23" x14ac:dyDescent="0.25">
      <c r="A36" s="89" t="s">
        <v>47</v>
      </c>
      <c r="B36" s="535">
        <v>0.9</v>
      </c>
      <c r="C36"/>
      <c r="D36" s="59" t="s">
        <v>175</v>
      </c>
      <c r="I36" s="20"/>
      <c r="R36" t="str">
        <f>"1 : 1"</f>
        <v>1 : 1</v>
      </c>
      <c r="S36">
        <v>9</v>
      </c>
      <c r="V36" t="str">
        <f>"1 : 1"</f>
        <v>1 : 1</v>
      </c>
      <c r="W36">
        <v>9</v>
      </c>
    </row>
    <row r="37" spans="1:23" x14ac:dyDescent="0.25">
      <c r="A37" s="89"/>
      <c r="B37" s="535"/>
      <c r="C37"/>
      <c r="D37" s="59"/>
      <c r="I37" s="20"/>
      <c r="R37" s="671" t="s">
        <v>857</v>
      </c>
      <c r="S37">
        <v>10</v>
      </c>
      <c r="V37" s="671" t="s">
        <v>857</v>
      </c>
      <c r="W37">
        <v>10</v>
      </c>
    </row>
    <row r="38" spans="1:23" x14ac:dyDescent="0.25">
      <c r="A38" s="89" t="s">
        <v>156</v>
      </c>
      <c r="B38" s="362">
        <f>Pout/Efficiency</f>
        <v>2.2222222222222223</v>
      </c>
      <c r="C38" t="s">
        <v>45</v>
      </c>
      <c r="D38" s="59" t="s">
        <v>462</v>
      </c>
      <c r="I38" s="20"/>
      <c r="R38" t="str">
        <f>"1 : 1.5"</f>
        <v>1 : 1.5</v>
      </c>
      <c r="S38">
        <v>11</v>
      </c>
      <c r="V38" t="str">
        <f>"1 : 1.5"</f>
        <v>1 : 1.5</v>
      </c>
      <c r="W38">
        <v>11</v>
      </c>
    </row>
    <row r="39" spans="1:23" x14ac:dyDescent="0.25">
      <c r="A39" s="89"/>
      <c r="B39" s="362"/>
      <c r="C39"/>
      <c r="D39" s="59"/>
      <c r="I39" s="20"/>
      <c r="R39" t="str">
        <f>"1 : 1.8"</f>
        <v>1 : 1.8</v>
      </c>
      <c r="S39">
        <v>12</v>
      </c>
      <c r="V39" t="str">
        <f>"1 : 1.8"</f>
        <v>1 : 1.8</v>
      </c>
      <c r="W39">
        <v>12</v>
      </c>
    </row>
    <row r="40" spans="1:23" x14ac:dyDescent="0.25">
      <c r="A40" s="89" t="s">
        <v>153</v>
      </c>
      <c r="B40" s="143">
        <f>Pin/VIN_min</f>
        <v>0.24691358024691359</v>
      </c>
      <c r="C40" t="s">
        <v>1</v>
      </c>
      <c r="D40" s="59"/>
      <c r="I40" s="20"/>
      <c r="R40" t="str">
        <f>"1 : 2"</f>
        <v>1 : 2</v>
      </c>
      <c r="S40">
        <v>13</v>
      </c>
      <c r="V40" t="str">
        <f>"1 : 2"</f>
        <v>1 : 2</v>
      </c>
      <c r="W40">
        <v>13</v>
      </c>
    </row>
    <row r="41" spans="1:23" x14ac:dyDescent="0.25">
      <c r="A41" s="89"/>
      <c r="B41" s="143"/>
      <c r="C41"/>
      <c r="D41" s="59"/>
      <c r="I41" s="20"/>
      <c r="R41" t="str">
        <f>"1 : 2.5"</f>
        <v>1 : 2.5</v>
      </c>
      <c r="S41">
        <v>14</v>
      </c>
      <c r="V41" t="str">
        <f>"1 : 2.5"</f>
        <v>1 : 2.5</v>
      </c>
      <c r="W41">
        <v>14</v>
      </c>
    </row>
    <row r="42" spans="1:23" x14ac:dyDescent="0.25">
      <c r="A42" s="89" t="s">
        <v>154</v>
      </c>
      <c r="B42" s="143">
        <f>Pin/VIN_nom</f>
        <v>0.11111111111111112</v>
      </c>
      <c r="C42" t="s">
        <v>1</v>
      </c>
      <c r="D42" s="59" t="s">
        <v>159</v>
      </c>
      <c r="I42" s="20">
        <v>1</v>
      </c>
      <c r="K42" s="59"/>
      <c r="R42" t="str">
        <f>"1 : 3"</f>
        <v>1 : 3</v>
      </c>
      <c r="S42">
        <v>15</v>
      </c>
      <c r="V42" t="str">
        <f>"1 : 3"</f>
        <v>1 : 3</v>
      </c>
      <c r="W42">
        <v>15</v>
      </c>
    </row>
    <row r="43" spans="1:23" x14ac:dyDescent="0.25">
      <c r="A43" s="89" t="s">
        <v>155</v>
      </c>
      <c r="B43" s="143">
        <f>Pin/VIN_max</f>
        <v>0.10582010582010583</v>
      </c>
      <c r="C43" t="s">
        <v>1</v>
      </c>
      <c r="D43" s="59"/>
      <c r="I43" s="20"/>
      <c r="R43" t="str">
        <f>"1 : 4"</f>
        <v>1 : 4</v>
      </c>
      <c r="S43">
        <v>16</v>
      </c>
      <c r="V43" t="str">
        <f>"1 : 4"</f>
        <v>1 : 4</v>
      </c>
      <c r="W43">
        <v>16</v>
      </c>
    </row>
    <row r="44" spans="1:23" x14ac:dyDescent="0.25">
      <c r="A44" s="89"/>
      <c r="B44" s="143"/>
      <c r="C44"/>
      <c r="D44" s="59"/>
      <c r="I44" s="20"/>
      <c r="R44" t="str">
        <f>"1 : 5"</f>
        <v>1 : 5</v>
      </c>
      <c r="S44">
        <v>17</v>
      </c>
      <c r="V44" t="str">
        <f>"1 : 5"</f>
        <v>1 : 5</v>
      </c>
      <c r="W44">
        <v>17</v>
      </c>
    </row>
    <row r="45" spans="1:23" x14ac:dyDescent="0.25">
      <c r="A45" s="89" t="s">
        <v>620</v>
      </c>
      <c r="B45" s="5">
        <f>CHOOSE(MODE, 'Calculations - Single'!N110, 'Calculations - Dual'!O110+'Calculations - Dual'!P110)</f>
        <v>2.1101682401091408</v>
      </c>
      <c r="C45" s="59" t="s">
        <v>45</v>
      </c>
      <c r="D45" s="59" t="b">
        <f>B45&lt;Pout_total</f>
        <v>0</v>
      </c>
      <c r="I45" s="20"/>
      <c r="Q45" s="490" t="s">
        <v>395</v>
      </c>
      <c r="R45" s="319" t="str">
        <f>CHOOSE(Turns_Ratio, "5 : 1", "4 : 1", "3 : 1", "2.5 : 1", "2 : 1", "1.8 : 1", "1.5 : 1", "1.2 : 1", "1 : 1", "1 : 1.2", "1 : 1.5", "1 : 1.8", "1 : 2",  "1 : 2.5","1 : 3", "1 : 4", "1 : 5")</f>
        <v>1 : 1</v>
      </c>
      <c r="S45" s="3">
        <v>9</v>
      </c>
      <c r="U45" s="490" t="s">
        <v>584</v>
      </c>
      <c r="V45" s="162" t="str">
        <f>CHOOSE(Turns_Ratio2, "5 : 1", "4 : 1", "3 : 1", "2.5 : 1", "2 : 1", "1.8 : 1","1.5 : 1", "1.2 : 1", "1 : 1", "1 : 1.2", "1 : 1.5", "1 : 2",  "1 : 2.5","1 : 3", "1 : 4", "1 : 5")</f>
        <v>1 : 1</v>
      </c>
      <c r="W45" s="3">
        <v>9</v>
      </c>
    </row>
    <row r="46" spans="1:23" x14ac:dyDescent="0.25">
      <c r="A46" s="89" t="s">
        <v>807</v>
      </c>
      <c r="B46" s="153">
        <f>CHOOSE(MODE, 'Calculations - Single'!N111, 'Calculations - Dual'!O111+'Calculations - Dual'!P111)/Vout</f>
        <v>0.10550841200545705</v>
      </c>
      <c r="C46" s="59" t="s">
        <v>1</v>
      </c>
      <c r="D46" s="59"/>
      <c r="I46" s="20"/>
      <c r="Q46" s="490"/>
      <c r="R46" s="319"/>
      <c r="S46" s="3"/>
      <c r="U46" s="490"/>
      <c r="V46" s="162"/>
      <c r="W46" s="3"/>
    </row>
    <row r="47" spans="1:23" x14ac:dyDescent="0.25">
      <c r="A47" s="89" t="s">
        <v>435</v>
      </c>
      <c r="B47" s="111">
        <v>350000</v>
      </c>
      <c r="C47" s="59" t="s">
        <v>8</v>
      </c>
      <c r="D47" s="59" t="s">
        <v>579</v>
      </c>
      <c r="I47" s="20"/>
    </row>
    <row r="48" spans="1:23" x14ac:dyDescent="0.25">
      <c r="A48" s="21" t="s">
        <v>18</v>
      </c>
      <c r="B48" s="22">
        <v>1.21</v>
      </c>
      <c r="C48" t="s">
        <v>0</v>
      </c>
      <c r="D48" s="59" t="s">
        <v>580</v>
      </c>
      <c r="I48" s="20"/>
      <c r="Q48" s="59" t="s">
        <v>454</v>
      </c>
      <c r="R48" s="319" t="str">
        <f>CHOOSE(Turns_Ratio, "5", "4 ", "3", "2.5", "2", "1.8", "1.5", "1.2", "1", "0.833",  "0.667", "0.556", "0.5", "0.4", "0.33", "0.25", "0.2")</f>
        <v>1</v>
      </c>
    </row>
    <row r="49" spans="1:23" x14ac:dyDescent="0.25">
      <c r="A49" s="89" t="s">
        <v>393</v>
      </c>
      <c r="B49" s="144">
        <f>'LM(2)518x PSR flyback converter'!E28*1000</f>
        <v>203200</v>
      </c>
      <c r="C49" s="91" t="s">
        <v>45</v>
      </c>
      <c r="D49" s="59" t="s">
        <v>581</v>
      </c>
      <c r="I49" s="20"/>
      <c r="Q49" s="59" t="s">
        <v>503</v>
      </c>
      <c r="R49" s="319" t="str">
        <f>CHOOSE(Turns_Ratio, "5", "4 ", "3", "2.5", "2", "1.8", "1.5", "1.2", "1", "0.833",  "0.667","0.556", "0.5", "0.4", "0.333", "0.25", "0.2")</f>
        <v>1</v>
      </c>
      <c r="V49" s="59" t="s">
        <v>588</v>
      </c>
      <c r="W49" s="138" t="str">
        <f>CHOOSE(Turns_Ratio, "1", "1", "1", "1", "1", "1", "1", "1", "1", "1.2", "1.5", "1.8",  "2", "2.5", "3", "4", "5")</f>
        <v>1</v>
      </c>
    </row>
    <row r="50" spans="1:23" x14ac:dyDescent="0.25">
      <c r="A50" s="89" t="s">
        <v>786</v>
      </c>
      <c r="B50" s="317">
        <f>VIN_max+Nps*(Vout+Vfwd2)</f>
        <v>41.4</v>
      </c>
      <c r="C50" s="59" t="s">
        <v>0</v>
      </c>
      <c r="D50" s="59" t="b">
        <f>B50&gt;F50</f>
        <v>0</v>
      </c>
      <c r="F50">
        <f>CHOOSE(VARIANT, 90, 90, 60, 60, 60)</f>
        <v>90</v>
      </c>
      <c r="I50" s="20"/>
      <c r="K50" s="59" t="s">
        <v>397</v>
      </c>
      <c r="Q50" s="59" t="s">
        <v>587</v>
      </c>
      <c r="R50" s="546">
        <f>ABS((Vout2+Vfwd1)/(Vout+Vfwd1))</f>
        <v>0.80314960629921262</v>
      </c>
      <c r="V50" s="59" t="s">
        <v>587</v>
      </c>
      <c r="W50" s="532">
        <f>Nsec1sec2</f>
        <v>0.80314960629921262</v>
      </c>
    </row>
    <row r="51" spans="1:23" ht="15.6" x14ac:dyDescent="0.35">
      <c r="A51" s="89" t="s">
        <v>394</v>
      </c>
      <c r="B51" s="153">
        <v>0.1</v>
      </c>
      <c r="C51" s="59" t="s">
        <v>45</v>
      </c>
      <c r="D51" s="59" t="s">
        <v>582</v>
      </c>
      <c r="F51" s="162" t="s">
        <v>583</v>
      </c>
      <c r="I51" s="20"/>
      <c r="Q51" s="330" t="s">
        <v>504</v>
      </c>
      <c r="R51" s="530">
        <f>Nps/Nsec1sec2</f>
        <v>1.2450980392156863</v>
      </c>
      <c r="V51" s="3"/>
      <c r="W51" s="531">
        <f>W49*W50</f>
        <v>0.80314960629921262</v>
      </c>
    </row>
    <row r="52" spans="1:23" ht="13.8" thickBot="1" x14ac:dyDescent="0.3">
      <c r="A52" s="23"/>
      <c r="B52" s="24"/>
      <c r="C52" s="62"/>
      <c r="D52" s="24"/>
      <c r="E52" s="24"/>
      <c r="F52" s="24"/>
      <c r="G52" s="24"/>
      <c r="H52" s="24"/>
      <c r="I52" s="25"/>
      <c r="K52" s="384" t="str">
        <f>"SCH_"&amp;B59&amp;"_"&amp;F64&amp;"_"&amp;I64&amp;"_"&amp;F58</f>
        <v>SCH_SINGLE_UVLOint_SSint_TCno</v>
      </c>
      <c r="R52" s="60">
        <f>ROUND(Nsec1sec2,1)</f>
        <v>0.8</v>
      </c>
      <c r="V52" s="138" t="s">
        <v>589</v>
      </c>
      <c r="W52" s="320" t="str">
        <f>CHOOSE(MODE, R45, R45&amp;" : "&amp;ROUND(W51,2))</f>
        <v>1 : 1</v>
      </c>
    </row>
    <row r="54" spans="1:23" ht="16.2" thickBot="1" x14ac:dyDescent="0.35">
      <c r="A54" s="39" t="s">
        <v>570</v>
      </c>
    </row>
    <row r="55" spans="1:23" ht="15.6" x14ac:dyDescent="0.3">
      <c r="A55" s="324"/>
      <c r="B55" s="325"/>
      <c r="C55" s="326"/>
      <c r="D55" s="325"/>
      <c r="E55" s="325"/>
      <c r="F55" s="325"/>
      <c r="G55" s="325"/>
      <c r="H55" s="325"/>
      <c r="I55" s="378"/>
      <c r="J55" s="378"/>
      <c r="K55" s="378"/>
      <c r="L55" s="378"/>
      <c r="M55" s="378"/>
      <c r="N55" s="378"/>
      <c r="O55" s="19"/>
    </row>
    <row r="56" spans="1:23" x14ac:dyDescent="0.25">
      <c r="A56" s="138" t="s">
        <v>363</v>
      </c>
      <c r="B56" s="59" t="s">
        <v>364</v>
      </c>
      <c r="C56" s="379">
        <v>1</v>
      </c>
      <c r="E56" s="138" t="s">
        <v>381</v>
      </c>
      <c r="F56" s="59" t="s">
        <v>366</v>
      </c>
      <c r="G56" s="141" t="b">
        <v>1</v>
      </c>
      <c r="I56" s="135" t="s">
        <v>301</v>
      </c>
      <c r="J56" s="141">
        <v>1</v>
      </c>
      <c r="K56" t="str">
        <f>B59&amp;", "&amp;F58&amp;", "&amp;I58&amp;", "&amp;F64&amp;", "&amp;I64</f>
        <v>SINGLE, TCno, IlimRes, UVLOint, SSint</v>
      </c>
      <c r="O56" s="19"/>
      <c r="Q56" s="135" t="s">
        <v>334</v>
      </c>
      <c r="R56" s="3" t="s">
        <v>329</v>
      </c>
      <c r="S56" s="60">
        <v>1</v>
      </c>
    </row>
    <row r="57" spans="1:23" x14ac:dyDescent="0.25">
      <c r="A57" s="321"/>
      <c r="B57" s="59" t="s">
        <v>365</v>
      </c>
      <c r="C57" s="379">
        <v>2</v>
      </c>
      <c r="E57" s="11"/>
      <c r="F57" s="59" t="s">
        <v>367</v>
      </c>
      <c r="G57" s="141" t="b">
        <v>0</v>
      </c>
      <c r="I57" s="135" t="s">
        <v>302</v>
      </c>
      <c r="J57" s="141">
        <v>2</v>
      </c>
      <c r="K57" t="str">
        <f>C59&amp;", "&amp;G58&amp;", "&amp;J58&amp;", "&amp;G64&amp;", "&amp;J64</f>
        <v>1, 2, 2, 2, 2</v>
      </c>
      <c r="O57" s="19"/>
      <c r="Q57" s="135" t="s">
        <v>336</v>
      </c>
      <c r="R57" s="3" t="s">
        <v>330</v>
      </c>
      <c r="S57" s="60">
        <v>2</v>
      </c>
    </row>
    <row r="58" spans="1:23" x14ac:dyDescent="0.25">
      <c r="B58" s="59" t="s">
        <v>517</v>
      </c>
      <c r="C58" s="141">
        <v>3</v>
      </c>
      <c r="E58" s="383" t="s">
        <v>382</v>
      </c>
      <c r="F58" s="323" t="str">
        <f>CHOOSE(G58, "TCyes", "TCno")</f>
        <v>TCno</v>
      </c>
      <c r="G58" s="319">
        <v>2</v>
      </c>
      <c r="H58" s="383" t="s">
        <v>300</v>
      </c>
      <c r="I58" s="323" t="str">
        <f>CHOOSE(J58, "IlimGND", "IlimRes")</f>
        <v>IlimRes</v>
      </c>
      <c r="J58" s="319">
        <f>IF(C64=4, 1, 2)</f>
        <v>2</v>
      </c>
      <c r="K58" t="str">
        <f>C59&amp;G58&amp;J58&amp;G64&amp;J64</f>
        <v>12222</v>
      </c>
      <c r="O58" s="19"/>
      <c r="Q58" s="135" t="s">
        <v>337</v>
      </c>
      <c r="R58" s="3" t="s">
        <v>331</v>
      </c>
      <c r="S58" s="60">
        <v>3</v>
      </c>
    </row>
    <row r="59" spans="1:23" x14ac:dyDescent="0.25">
      <c r="A59" s="381" t="s">
        <v>285</v>
      </c>
      <c r="B59" s="380" t="str">
        <f>CHOOSE(C59,"SINGLE", IF(Vout2_actual&gt;0, "DUAL", "BIPOLAR"))</f>
        <v>SINGLE</v>
      </c>
      <c r="C59" s="322">
        <v>1</v>
      </c>
      <c r="G59" s="60">
        <f>TC</f>
        <v>2</v>
      </c>
      <c r="I59" s="319"/>
      <c r="O59" s="19"/>
      <c r="Q59" s="135" t="s">
        <v>335</v>
      </c>
      <c r="R59" s="3" t="s">
        <v>332</v>
      </c>
      <c r="S59" s="60">
        <v>4</v>
      </c>
    </row>
    <row r="60" spans="1:23" x14ac:dyDescent="0.25">
      <c r="A60" s="321"/>
      <c r="B60" s="3" t="b">
        <f>CHOOSE(C59, TRUE, FALSE)</f>
        <v>1</v>
      </c>
      <c r="C60" s="60" t="str">
        <f>CHOOSE(C59,"1", IF(Vout2&gt;0, "2", "3"))</f>
        <v>1</v>
      </c>
      <c r="O60" s="19"/>
      <c r="Q60" s="135" t="s">
        <v>339</v>
      </c>
      <c r="R60" s="3" t="s">
        <v>338</v>
      </c>
      <c r="S60" s="60">
        <v>5</v>
      </c>
    </row>
    <row r="61" spans="1:23" x14ac:dyDescent="0.25">
      <c r="O61" s="19"/>
      <c r="Q61" s="383" t="s">
        <v>333</v>
      </c>
      <c r="R61" s="162" t="str">
        <f>CHOOSE(S61,"6.3V","10V","16V","25V","50V")</f>
        <v>25V</v>
      </c>
      <c r="S61" s="319">
        <f>IF(Vout&lt;=5, 1, IF(Vout&lt;=8, 2, IF(Vout&lt;=12, 3, IF(Vout&lt;=20, 4, 5))))</f>
        <v>4</v>
      </c>
    </row>
    <row r="62" spans="1:23" x14ac:dyDescent="0.25">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5">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5">
      <c r="A64" s="382" t="s">
        <v>286</v>
      </c>
      <c r="B64" s="380" t="str">
        <f>CHOOSE(C64, "YES", "NO")</f>
        <v>YES</v>
      </c>
      <c r="C64" s="322">
        <v>1</v>
      </c>
      <c r="E64" s="383" t="s">
        <v>305</v>
      </c>
      <c r="F64" s="323" t="str">
        <f>CHOOSE(G64, "UVLOadj", "UVLOint")</f>
        <v>UVLOint</v>
      </c>
      <c r="G64" s="319">
        <v>2</v>
      </c>
      <c r="H64" s="383" t="s">
        <v>287</v>
      </c>
      <c r="I64" s="323" t="str">
        <f>CHOOSE(J64, "SSadj", "SSint")</f>
        <v>SSint</v>
      </c>
      <c r="J64" s="319">
        <v>2</v>
      </c>
      <c r="L64" s="320" t="s">
        <v>298</v>
      </c>
      <c r="M64" s="319">
        <v>1</v>
      </c>
      <c r="O64" s="19"/>
      <c r="R64" s="398" t="s">
        <v>342</v>
      </c>
      <c r="S64" s="60">
        <v>1</v>
      </c>
      <c r="T64" s="59" t="s">
        <v>348</v>
      </c>
      <c r="U64" s="147">
        <v>0.5</v>
      </c>
    </row>
    <row r="65" spans="1:26" ht="13.8" thickBot="1" x14ac:dyDescent="0.3">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5">
      <c r="B66" t="b">
        <f>(CONFIG="2")</f>
        <v>0</v>
      </c>
      <c r="C66" s="3" t="str">
        <f>CONFIG</f>
        <v>1</v>
      </c>
      <c r="R66" s="398" t="s">
        <v>343</v>
      </c>
      <c r="S66" s="60">
        <v>3</v>
      </c>
      <c r="T66" s="59" t="s">
        <v>353</v>
      </c>
      <c r="U66" s="147">
        <v>2.5</v>
      </c>
    </row>
    <row r="67" spans="1:26" ht="16.2" thickBot="1" x14ac:dyDescent="0.35">
      <c r="A67" s="39" t="s">
        <v>571</v>
      </c>
      <c r="B67" s="3"/>
      <c r="R67" s="398" t="s">
        <v>344</v>
      </c>
      <c r="S67" s="60">
        <v>4</v>
      </c>
      <c r="T67" s="59" t="s">
        <v>351</v>
      </c>
      <c r="U67" s="147">
        <v>5.0999999999999996</v>
      </c>
    </row>
    <row r="68" spans="1:26" x14ac:dyDescent="0.25">
      <c r="A68" s="88"/>
      <c r="B68" s="516"/>
      <c r="C68" s="517"/>
      <c r="D68" s="133"/>
      <c r="E68" s="61"/>
      <c r="F68" s="26"/>
      <c r="G68" s="26"/>
      <c r="H68" s="26"/>
      <c r="I68" s="27">
        <v>1</v>
      </c>
      <c r="R68" s="398" t="s">
        <v>345</v>
      </c>
      <c r="S68" s="60">
        <v>5</v>
      </c>
      <c r="T68" s="59" t="s">
        <v>354</v>
      </c>
      <c r="U68" s="147">
        <v>8</v>
      </c>
    </row>
    <row r="69" spans="1:26" x14ac:dyDescent="0.25">
      <c r="A69" s="89" t="s">
        <v>150</v>
      </c>
      <c r="B69" s="142">
        <f>Nps*(Vout+Vfwd2)/(VIN_min+Nps*(Vout+Vfwd2))</f>
        <v>0.69387755102040816</v>
      </c>
      <c r="C69"/>
      <c r="D69" t="b">
        <f>B69&gt;0.75</f>
        <v>0</v>
      </c>
      <c r="E69" s="59"/>
      <c r="I69" s="20">
        <v>1</v>
      </c>
      <c r="Q69" s="383" t="s">
        <v>346</v>
      </c>
      <c r="R69" s="162" t="str">
        <f>CHOOSE(S69,"0402","0603","0805","1206","1210")</f>
        <v>1210</v>
      </c>
      <c r="S69" s="319">
        <v>5</v>
      </c>
      <c r="T69" s="162" t="str">
        <f>CHOOSE(S69,T64,T65, T66,T67,T68)</f>
        <v>3.2 x 2.5</v>
      </c>
    </row>
    <row r="70" spans="1:26" x14ac:dyDescent="0.25">
      <c r="A70" s="89" t="s">
        <v>157</v>
      </c>
      <c r="B70" s="142">
        <f>Nps*(Vout+Vfwd1)/(VIN_nom+Nps*(Vout+Vfwd1))</f>
        <v>0.50396825396825395</v>
      </c>
      <c r="C70"/>
      <c r="I70" s="20"/>
    </row>
    <row r="71" spans="1:26" x14ac:dyDescent="0.25">
      <c r="A71" s="89" t="s">
        <v>151</v>
      </c>
      <c r="B71" s="142">
        <f>Nps*(Vout+Vfwd1)/(VIN_max+Nps*(Vout+Vfwd1))</f>
        <v>0.49177153920619554</v>
      </c>
      <c r="C71"/>
      <c r="E71" s="59"/>
      <c r="I71" s="20"/>
    </row>
    <row r="72" spans="1:26" x14ac:dyDescent="0.25">
      <c r="A72" s="59"/>
      <c r="C72"/>
      <c r="E72" s="59"/>
      <c r="I72" s="20"/>
      <c r="R72" s="3" t="s">
        <v>645</v>
      </c>
      <c r="S72" s="3"/>
      <c r="T72" s="3" t="s">
        <v>116</v>
      </c>
      <c r="U72" s="3" t="s">
        <v>646</v>
      </c>
      <c r="W72" s="3" t="s">
        <v>645</v>
      </c>
      <c r="X72" s="3"/>
      <c r="Y72" s="3" t="s">
        <v>116</v>
      </c>
      <c r="Z72" s="3" t="s">
        <v>646</v>
      </c>
    </row>
    <row r="73" spans="1:26" x14ac:dyDescent="0.25">
      <c r="A73" s="89"/>
      <c r="B73" s="551"/>
      <c r="C73" s="59"/>
      <c r="D73" s="59"/>
      <c r="I73" s="20"/>
      <c r="R73" s="59" t="s">
        <v>349</v>
      </c>
      <c r="S73" s="60">
        <v>1</v>
      </c>
      <c r="T73" s="330" t="s">
        <v>634</v>
      </c>
      <c r="U73" s="147">
        <v>36</v>
      </c>
      <c r="W73" s="59" t="s">
        <v>652</v>
      </c>
      <c r="X73" s="60">
        <v>1</v>
      </c>
      <c r="Y73" s="59" t="s">
        <v>352</v>
      </c>
      <c r="Z73">
        <v>1.3</v>
      </c>
    </row>
    <row r="74" spans="1:26" x14ac:dyDescent="0.25">
      <c r="A74" s="89"/>
      <c r="B74" s="551"/>
      <c r="C74"/>
      <c r="D74" s="59"/>
      <c r="I74" s="20"/>
      <c r="R74" s="59" t="s">
        <v>350</v>
      </c>
      <c r="S74" s="60">
        <v>2</v>
      </c>
      <c r="T74" s="330" t="s">
        <v>633</v>
      </c>
      <c r="U74" s="147">
        <v>49</v>
      </c>
      <c r="W74" s="59" t="s">
        <v>642</v>
      </c>
      <c r="X74" s="60">
        <v>2</v>
      </c>
      <c r="Y74" s="59" t="s">
        <v>651</v>
      </c>
      <c r="Z74">
        <v>3.2</v>
      </c>
    </row>
    <row r="75" spans="1:26" x14ac:dyDescent="0.25">
      <c r="A75" s="89"/>
      <c r="B75" s="551"/>
      <c r="C75" s="59"/>
      <c r="D75" s="59"/>
      <c r="I75" s="20"/>
      <c r="R75" s="59" t="s">
        <v>624</v>
      </c>
      <c r="S75" s="60">
        <v>3</v>
      </c>
      <c r="T75" s="330" t="s">
        <v>632</v>
      </c>
      <c r="U75" s="147">
        <v>64</v>
      </c>
      <c r="W75" s="59" t="s">
        <v>643</v>
      </c>
      <c r="X75" s="60">
        <v>3</v>
      </c>
      <c r="Y75" s="59" t="s">
        <v>650</v>
      </c>
      <c r="Z75">
        <v>6.5</v>
      </c>
    </row>
    <row r="76" spans="1:26" x14ac:dyDescent="0.25">
      <c r="A76" s="59"/>
      <c r="C76"/>
      <c r="I76" s="20">
        <v>1</v>
      </c>
      <c r="R76" s="59" t="s">
        <v>625</v>
      </c>
      <c r="S76" s="60">
        <v>4</v>
      </c>
      <c r="T76" s="330" t="s">
        <v>631</v>
      </c>
      <c r="U76" s="147">
        <v>81</v>
      </c>
      <c r="W76" s="59" t="s">
        <v>644</v>
      </c>
      <c r="X76" s="60">
        <v>4</v>
      </c>
      <c r="Y76" s="59" t="s">
        <v>649</v>
      </c>
      <c r="Z76">
        <v>12.5</v>
      </c>
    </row>
    <row r="77" spans="1:26" x14ac:dyDescent="0.25">
      <c r="A77" s="59"/>
      <c r="B77" s="13"/>
      <c r="C77" s="59"/>
      <c r="D77" s="59"/>
      <c r="E77" s="59"/>
      <c r="I77" s="20"/>
      <c r="R77" s="59" t="s">
        <v>626</v>
      </c>
      <c r="S77" s="60">
        <v>5</v>
      </c>
      <c r="T77" s="330" t="s">
        <v>630</v>
      </c>
      <c r="U77" s="147">
        <v>100</v>
      </c>
      <c r="W77" s="59" t="s">
        <v>813</v>
      </c>
      <c r="X77" s="60">
        <v>5</v>
      </c>
      <c r="Y77" s="59" t="s">
        <v>814</v>
      </c>
      <c r="Z77">
        <v>16.5</v>
      </c>
    </row>
    <row r="78" spans="1:26" x14ac:dyDescent="0.25">
      <c r="A78" s="59"/>
      <c r="B78" s="13"/>
      <c r="C78"/>
      <c r="D78" s="59">
        <f>Isw_min</f>
        <v>0.15</v>
      </c>
      <c r="E78" s="59"/>
      <c r="I78" s="20"/>
      <c r="R78" s="59" t="s">
        <v>627</v>
      </c>
      <c r="S78" s="60">
        <v>6</v>
      </c>
      <c r="T78" s="330" t="s">
        <v>629</v>
      </c>
      <c r="U78" s="147">
        <v>120</v>
      </c>
      <c r="W78" s="383" t="s">
        <v>647</v>
      </c>
    </row>
    <row r="79" spans="1:26" x14ac:dyDescent="0.25">
      <c r="A79" s="59"/>
      <c r="B79" s="13"/>
      <c r="C79" s="59"/>
      <c r="D79" s="59"/>
      <c r="E79" s="59"/>
      <c r="I79" s="20"/>
      <c r="R79" s="59" t="s">
        <v>628</v>
      </c>
      <c r="S79" s="60">
        <v>7</v>
      </c>
      <c r="T79" s="330" t="s">
        <v>635</v>
      </c>
      <c r="U79" s="147">
        <v>143</v>
      </c>
    </row>
    <row r="80" spans="1:26" ht="15.6" x14ac:dyDescent="0.35">
      <c r="A80" s="59"/>
      <c r="C80" s="59"/>
      <c r="E80" s="59"/>
      <c r="I80" s="20"/>
      <c r="K80" s="59" t="s">
        <v>321</v>
      </c>
      <c r="Q80" s="383" t="s">
        <v>460</v>
      </c>
    </row>
    <row r="81" spans="1:9" x14ac:dyDescent="0.25">
      <c r="A81" s="89" t="s">
        <v>695</v>
      </c>
      <c r="B81" s="34">
        <f>'LM(2)518x PSR flyback converter'!L7/1000000</f>
        <v>1.4999999999999999E-4</v>
      </c>
      <c r="C81" t="s">
        <v>11</v>
      </c>
      <c r="D81" s="59" t="s">
        <v>459</v>
      </c>
      <c r="I81" s="20"/>
    </row>
    <row r="82" spans="1:9" x14ac:dyDescent="0.25">
      <c r="A82" s="89" t="s">
        <v>677</v>
      </c>
      <c r="B82" s="111">
        <f>'LM(2)518x PSR flyback converter'!L11</f>
        <v>3000</v>
      </c>
      <c r="C82" t="s">
        <v>678</v>
      </c>
      <c r="D82" s="59"/>
      <c r="I82" s="20"/>
    </row>
    <row r="83" spans="1:9" x14ac:dyDescent="0.25">
      <c r="A83" s="89" t="s">
        <v>392</v>
      </c>
      <c r="B83" s="8">
        <f>'LM(2)518x PSR flyback converter'!L8/1000</f>
        <v>0.8</v>
      </c>
      <c r="C83" s="91" t="s">
        <v>45</v>
      </c>
      <c r="D83" s="59" t="s">
        <v>457</v>
      </c>
      <c r="I83" s="20"/>
    </row>
    <row r="84" spans="1:9" x14ac:dyDescent="0.25">
      <c r="A84" s="89" t="s">
        <v>455</v>
      </c>
      <c r="B84" s="8">
        <f>'LM(2)518x PSR flyback converter'!L9/1000</f>
        <v>0.79600000000000004</v>
      </c>
      <c r="C84" s="91" t="s">
        <v>45</v>
      </c>
      <c r="D84" s="59" t="s">
        <v>458</v>
      </c>
      <c r="I84" s="20">
        <v>2</v>
      </c>
    </row>
    <row r="85" spans="1:9" x14ac:dyDescent="0.25">
      <c r="A85" s="89" t="s">
        <v>456</v>
      </c>
      <c r="B85" s="8">
        <f>'LM(2)518x PSR flyback converter'!L10/1000</f>
        <v>0.05</v>
      </c>
      <c r="C85" s="91" t="s">
        <v>45</v>
      </c>
      <c r="D85" s="59" t="s">
        <v>553</v>
      </c>
      <c r="E85" s="59"/>
      <c r="I85" s="20">
        <v>1</v>
      </c>
    </row>
    <row r="86" spans="1:9" x14ac:dyDescent="0.25">
      <c r="A86" s="89"/>
      <c r="C86"/>
      <c r="I86" s="20"/>
    </row>
    <row r="87" spans="1:9" ht="15.75" customHeight="1" x14ac:dyDescent="0.25">
      <c r="A87" s="59" t="s">
        <v>552</v>
      </c>
      <c r="B87" s="169">
        <v>100</v>
      </c>
      <c r="C87" s="59" t="s">
        <v>102</v>
      </c>
      <c r="D87" s="59"/>
      <c r="I87" s="20"/>
    </row>
    <row r="88" spans="1:9" x14ac:dyDescent="0.25">
      <c r="A88" s="89" t="s">
        <v>549</v>
      </c>
      <c r="B88" s="163">
        <f>Rdcr_pri*(1+0.0039*(B87-25))</f>
        <v>1.034</v>
      </c>
      <c r="C88" s="91" t="s">
        <v>45</v>
      </c>
      <c r="I88" s="20"/>
    </row>
    <row r="89" spans="1:9" x14ac:dyDescent="0.25">
      <c r="A89" s="89" t="s">
        <v>550</v>
      </c>
      <c r="B89" s="163">
        <f>Rdcr_sec*(1+0.0039*(B87-25))</f>
        <v>1.0288300000000001</v>
      </c>
      <c r="C89" s="91" t="s">
        <v>45</v>
      </c>
      <c r="I89" s="20"/>
    </row>
    <row r="90" spans="1:9" x14ac:dyDescent="0.25">
      <c r="A90" s="89" t="s">
        <v>551</v>
      </c>
      <c r="B90" s="163">
        <f>Rdcr_sec2*(1+0.0039*(B87-25))</f>
        <v>6.4625000000000002E-2</v>
      </c>
      <c r="C90" s="91" t="s">
        <v>45</v>
      </c>
      <c r="I90" s="20"/>
    </row>
    <row r="91" spans="1:9" x14ac:dyDescent="0.25">
      <c r="A91" s="59" t="s">
        <v>805</v>
      </c>
      <c r="B91">
        <f>CHOOSE(VARIANT, 450, 375, 450, 375, 425)</f>
        <v>375</v>
      </c>
      <c r="C91" s="3" t="s">
        <v>32</v>
      </c>
      <c r="I91" s="20"/>
    </row>
    <row r="92" spans="1:9" x14ac:dyDescent="0.25">
      <c r="A92" t="s">
        <v>676</v>
      </c>
      <c r="B92" s="628">
        <f>(Vout+Vfwd1)*Nps*toff_max*0.000000001/Isw_min*1000000</f>
        <v>50.800000000000011</v>
      </c>
      <c r="C92" s="3" t="s">
        <v>806</v>
      </c>
      <c r="I92" s="20"/>
    </row>
    <row r="93" spans="1:9" ht="13.8" thickBot="1" x14ac:dyDescent="0.3">
      <c r="A93" s="146" t="s">
        <v>815</v>
      </c>
      <c r="B93" s="140">
        <f>CHOOSE(VARIANT, 2, 1, 2, 3, 5)</f>
        <v>1</v>
      </c>
      <c r="C93" s="62" t="s">
        <v>1</v>
      </c>
      <c r="D93" s="24"/>
      <c r="E93" s="24"/>
      <c r="F93" s="24"/>
      <c r="G93" s="24"/>
      <c r="H93" s="24"/>
      <c r="I93" s="25"/>
    </row>
    <row r="94" spans="1:9" x14ac:dyDescent="0.25">
      <c r="A94" s="3"/>
      <c r="B94" s="2"/>
      <c r="C94" s="2"/>
    </row>
    <row r="96" spans="1:9" ht="16.2" thickBot="1" x14ac:dyDescent="0.35">
      <c r="A96" s="39" t="s">
        <v>572</v>
      </c>
      <c r="D96" s="3"/>
    </row>
    <row r="97" spans="1:12" x14ac:dyDescent="0.25">
      <c r="A97" s="88" t="s">
        <v>164</v>
      </c>
      <c r="B97" s="361"/>
      <c r="C97" s="145" t="s">
        <v>1</v>
      </c>
      <c r="D97" s="61" t="s">
        <v>163</v>
      </c>
      <c r="E97" s="26"/>
      <c r="F97" s="26"/>
      <c r="G97" s="26"/>
      <c r="H97" s="26"/>
      <c r="I97" s="27"/>
      <c r="L97" s="5"/>
    </row>
    <row r="98" spans="1:12" x14ac:dyDescent="0.25">
      <c r="A98" s="89" t="s">
        <v>165</v>
      </c>
      <c r="B98" s="362"/>
      <c r="C98" s="59" t="s">
        <v>1</v>
      </c>
      <c r="E98" s="59"/>
      <c r="I98" s="20"/>
      <c r="L98" s="5"/>
    </row>
    <row r="99" spans="1:12" x14ac:dyDescent="0.25">
      <c r="A99" s="89" t="s">
        <v>166</v>
      </c>
      <c r="B99" s="362"/>
      <c r="C99" s="59" t="s">
        <v>1</v>
      </c>
      <c r="E99" s="59"/>
      <c r="I99" s="20"/>
      <c r="L99" s="5"/>
    </row>
    <row r="100" spans="1:12" x14ac:dyDescent="0.25">
      <c r="A100" s="89"/>
      <c r="B100" s="147"/>
      <c r="C100" s="59"/>
      <c r="E100" s="59"/>
      <c r="I100" s="20"/>
      <c r="L100" s="5"/>
    </row>
    <row r="101" spans="1:12" x14ac:dyDescent="0.25">
      <c r="A101" s="89" t="s">
        <v>174</v>
      </c>
      <c r="B101" s="479">
        <f>Vout_ripple</f>
        <v>200</v>
      </c>
      <c r="C101" s="59" t="s">
        <v>149</v>
      </c>
      <c r="D101" s="59" t="s">
        <v>608</v>
      </c>
      <c r="I101" s="20"/>
      <c r="L101" s="5"/>
    </row>
    <row r="102" spans="1:12" x14ac:dyDescent="0.25">
      <c r="A102" s="434" t="s">
        <v>12</v>
      </c>
      <c r="B102" s="492">
        <f>MAX(4.7, CHOOSE(MODE, 'Calculations - Single'!BA212, 'Calculations - Dual'!AW105))</f>
        <v>7.5578700647486725</v>
      </c>
      <c r="C102" s="9" t="s">
        <v>97</v>
      </c>
      <c r="D102" s="59" t="s">
        <v>607</v>
      </c>
      <c r="E102" s="59"/>
      <c r="I102" s="20"/>
    </row>
    <row r="103" spans="1:12" x14ac:dyDescent="0.25">
      <c r="A103" s="89" t="s">
        <v>14</v>
      </c>
      <c r="B103" s="515">
        <f>'LM(2)518x PSR flyback converter'!E22</f>
        <v>20</v>
      </c>
      <c r="C103" s="9" t="s">
        <v>97</v>
      </c>
      <c r="D103" s="59" t="s">
        <v>167</v>
      </c>
      <c r="I103" s="20"/>
    </row>
    <row r="104" spans="1:12" x14ac:dyDescent="0.25">
      <c r="A104" s="176" t="s">
        <v>181</v>
      </c>
      <c r="B104" s="480">
        <f>(Vripple1_spec-Iout*B106/Cout*1000)/Iout</f>
        <v>1834.6456692913387</v>
      </c>
      <c r="C104" s="91" t="s">
        <v>258</v>
      </c>
      <c r="D104" s="59" t="s">
        <v>107</v>
      </c>
      <c r="I104" s="20"/>
    </row>
    <row r="105" spans="1:12" x14ac:dyDescent="0.25">
      <c r="A105" s="89" t="s">
        <v>54</v>
      </c>
      <c r="B105" s="171">
        <f>'LM(2)518x PSR flyback converter'!E23</f>
        <v>3</v>
      </c>
      <c r="C105" s="91" t="s">
        <v>258</v>
      </c>
      <c r="D105" s="59" t="s">
        <v>108</v>
      </c>
      <c r="I105" s="20"/>
    </row>
    <row r="106" spans="1:12" x14ac:dyDescent="0.25">
      <c r="A106" s="89" t="s">
        <v>445</v>
      </c>
      <c r="B106" s="170">
        <f>CHOOSE(MODE, 'Calculations - Single'!AT105, 'Calculations - Dual'!AR105)</f>
        <v>3.3070866141732274</v>
      </c>
      <c r="C106" s="9" t="s">
        <v>247</v>
      </c>
      <c r="D106" s="59"/>
      <c r="I106" s="20"/>
    </row>
    <row r="107" spans="1:12" x14ac:dyDescent="0.25">
      <c r="A107" s="29" t="s">
        <v>444</v>
      </c>
      <c r="B107" s="626">
        <f>'Calculations - Single'!BB105</f>
        <v>17.536920000000002</v>
      </c>
      <c r="C107" s="59" t="s">
        <v>450</v>
      </c>
      <c r="D107" s="59" t="s">
        <v>610</v>
      </c>
      <c r="H107" s="162" t="s">
        <v>575</v>
      </c>
      <c r="I107" s="20"/>
    </row>
    <row r="108" spans="1:12" x14ac:dyDescent="0.25">
      <c r="A108" s="29"/>
      <c r="B108" s="170"/>
      <c r="C108" s="59"/>
      <c r="D108" s="59"/>
      <c r="I108" s="20"/>
    </row>
    <row r="109" spans="1:12" x14ac:dyDescent="0.25">
      <c r="A109" s="29"/>
      <c r="B109" s="170"/>
      <c r="C109" s="59"/>
      <c r="D109" s="59"/>
      <c r="I109" s="20"/>
    </row>
    <row r="110" spans="1:12" ht="15.6" x14ac:dyDescent="0.3">
      <c r="A110" s="554" t="s">
        <v>573</v>
      </c>
      <c r="B110" s="170"/>
      <c r="C110" s="9"/>
      <c r="D110" s="59"/>
      <c r="I110" s="20"/>
    </row>
    <row r="111" spans="1:12" x14ac:dyDescent="0.25">
      <c r="A111" s="89" t="s">
        <v>554</v>
      </c>
      <c r="B111" s="479">
        <f>Vout_ripple2</f>
        <v>160</v>
      </c>
      <c r="C111" s="59" t="s">
        <v>149</v>
      </c>
      <c r="D111" s="59" t="s">
        <v>611</v>
      </c>
      <c r="I111" s="20"/>
    </row>
    <row r="112" spans="1:12" x14ac:dyDescent="0.25">
      <c r="A112" s="434" t="s">
        <v>556</v>
      </c>
      <c r="B112" s="170">
        <f>MAX(4.7, 'Calculations - Dual'!AY105)</f>
        <v>4.7</v>
      </c>
      <c r="C112" s="9" t="s">
        <v>97</v>
      </c>
      <c r="D112" s="59" t="s">
        <v>607</v>
      </c>
      <c r="I112" s="20"/>
    </row>
    <row r="113" spans="1:9" x14ac:dyDescent="0.25">
      <c r="A113" s="89" t="s">
        <v>555</v>
      </c>
      <c r="B113" s="515">
        <f>'LM(2)518x PSR flyback converter'!L22</f>
        <v>22</v>
      </c>
      <c r="C113" s="9" t="s">
        <v>97</v>
      </c>
      <c r="D113" s="59" t="s">
        <v>167</v>
      </c>
      <c r="I113" s="20"/>
    </row>
    <row r="114" spans="1:9" x14ac:dyDescent="0.25">
      <c r="A114" s="176" t="s">
        <v>557</v>
      </c>
      <c r="B114" s="480">
        <f>(Vout_ripple2-Iout2*B116/Cout2*1000)/Iout2</f>
        <v>1344.3181818181818</v>
      </c>
      <c r="C114" s="91" t="s">
        <v>258</v>
      </c>
      <c r="D114" s="59" t="s">
        <v>107</v>
      </c>
      <c r="H114" s="162" t="s">
        <v>574</v>
      </c>
      <c r="I114" s="20"/>
    </row>
    <row r="115" spans="1:9" x14ac:dyDescent="0.25">
      <c r="A115" s="89" t="s">
        <v>558</v>
      </c>
      <c r="B115" s="171">
        <f>'LM(2)518x PSR flyback converter'!L23</f>
        <v>2</v>
      </c>
      <c r="C115" s="91" t="s">
        <v>258</v>
      </c>
      <c r="D115" s="59" t="s">
        <v>108</v>
      </c>
      <c r="I115" s="20"/>
    </row>
    <row r="116" spans="1:9" x14ac:dyDescent="0.25">
      <c r="A116" s="89" t="s">
        <v>445</v>
      </c>
      <c r="B116" s="170">
        <f>'Calculations - Dual'!AS105</f>
        <v>5.6249999999999991</v>
      </c>
      <c r="C116" s="9" t="s">
        <v>247</v>
      </c>
      <c r="D116" s="59"/>
      <c r="H116" s="162" t="s">
        <v>574</v>
      </c>
      <c r="I116" s="20"/>
    </row>
    <row r="117" spans="1:9" x14ac:dyDescent="0.25">
      <c r="A117" s="29" t="s">
        <v>444</v>
      </c>
      <c r="B117" s="513">
        <f>'Calculations - Dual'!AZ105</f>
        <v>12.834844328961385</v>
      </c>
      <c r="C117" s="59" t="s">
        <v>450</v>
      </c>
      <c r="D117" s="59" t="s">
        <v>609</v>
      </c>
      <c r="I117" s="20"/>
    </row>
    <row r="118" spans="1:9" x14ac:dyDescent="0.25">
      <c r="A118" s="3"/>
      <c r="B118" s="170"/>
      <c r="C118" s="59"/>
      <c r="D118" s="59"/>
      <c r="I118" s="20"/>
    </row>
    <row r="119" spans="1:9" ht="13.8" thickBot="1" x14ac:dyDescent="0.3">
      <c r="A119" s="24"/>
      <c r="B119" s="24"/>
      <c r="C119" s="24"/>
      <c r="D119" s="24"/>
      <c r="E119" s="24"/>
      <c r="F119" s="24"/>
      <c r="G119" s="24"/>
      <c r="H119" s="24"/>
      <c r="I119" s="25"/>
    </row>
    <row r="121" spans="1:9" ht="13.8" thickBot="1" x14ac:dyDescent="0.3"/>
    <row r="122" spans="1:9" ht="15.6" x14ac:dyDescent="0.3">
      <c r="A122" s="45" t="s">
        <v>55</v>
      </c>
      <c r="B122" s="46"/>
      <c r="C122" s="148"/>
      <c r="D122" s="46"/>
      <c r="E122" s="46"/>
      <c r="F122" s="46"/>
      <c r="G122" s="46"/>
      <c r="H122" s="46"/>
      <c r="I122" s="47"/>
    </row>
    <row r="123" spans="1:9" x14ac:dyDescent="0.25">
      <c r="A123" s="482" t="s">
        <v>518</v>
      </c>
      <c r="B123" s="485">
        <f>0.05*VIN_nom</f>
        <v>1</v>
      </c>
      <c r="C123" s="59" t="s">
        <v>451</v>
      </c>
      <c r="D123" s="59" t="s">
        <v>446</v>
      </c>
      <c r="I123" s="49"/>
    </row>
    <row r="124" spans="1:9" x14ac:dyDescent="0.25">
      <c r="A124" s="48"/>
      <c r="C124"/>
      <c r="I124" s="49"/>
    </row>
    <row r="125" spans="1:9" x14ac:dyDescent="0.25">
      <c r="A125" s="50" t="s">
        <v>58</v>
      </c>
      <c r="B125" s="363"/>
      <c r="C125" s="9" t="s">
        <v>30</v>
      </c>
      <c r="I125" s="49"/>
    </row>
    <row r="126" spans="1:9" x14ac:dyDescent="0.25">
      <c r="A126" s="50" t="s">
        <v>98</v>
      </c>
      <c r="B126" s="165">
        <f>'Calculations - Single'!BC105</f>
        <v>0.36166739000144654</v>
      </c>
      <c r="C126" s="9" t="s">
        <v>97</v>
      </c>
      <c r="I126" s="49"/>
    </row>
    <row r="127" spans="1:9" x14ac:dyDescent="0.25">
      <c r="A127" s="176" t="s">
        <v>180</v>
      </c>
      <c r="B127" s="518">
        <f>MAX(2.2,Cinmin)</f>
        <v>2.2000000000000002</v>
      </c>
      <c r="C127" s="9" t="s">
        <v>97</v>
      </c>
      <c r="I127" s="49"/>
    </row>
    <row r="128" spans="1:9" x14ac:dyDescent="0.25">
      <c r="A128" s="50" t="s">
        <v>28</v>
      </c>
      <c r="B128" s="483">
        <f>'LM(2)518x PSR flyback converter'!E18</f>
        <v>10</v>
      </c>
      <c r="C128" s="9" t="s">
        <v>97</v>
      </c>
      <c r="D128" t="s">
        <v>60</v>
      </c>
      <c r="I128" s="49"/>
    </row>
    <row r="129" spans="1:9" x14ac:dyDescent="0.25">
      <c r="A129" s="50"/>
      <c r="B129" s="481"/>
      <c r="C129" s="43"/>
      <c r="I129" s="49"/>
    </row>
    <row r="130" spans="1:9" x14ac:dyDescent="0.25">
      <c r="A130" s="50" t="s">
        <v>99</v>
      </c>
      <c r="B130" s="362">
        <f>(Vinripple1-B133*B135/Cin)/B134</f>
        <v>2.1858361454818147</v>
      </c>
      <c r="C130" s="91" t="s">
        <v>45</v>
      </c>
      <c r="I130" s="49"/>
    </row>
    <row r="131" spans="1:9" x14ac:dyDescent="0.25">
      <c r="A131" s="50" t="s">
        <v>37</v>
      </c>
      <c r="B131" s="44">
        <f>'LM(2)518x PSR flyback converter'!E19/1000</f>
        <v>3.0000000000000001E-3</v>
      </c>
      <c r="C131" s="91" t="s">
        <v>45</v>
      </c>
      <c r="D131" s="59" t="s">
        <v>109</v>
      </c>
      <c r="I131" s="49"/>
    </row>
    <row r="132" spans="1:9" ht="13.8" x14ac:dyDescent="0.3">
      <c r="A132" s="176" t="s">
        <v>182</v>
      </c>
      <c r="B132" s="315">
        <f>'LM(2)518x PSR flyback converter'!E19</f>
        <v>3</v>
      </c>
      <c r="C132" s="12" t="s">
        <v>161</v>
      </c>
      <c r="D132" s="59"/>
      <c r="I132" s="49"/>
    </row>
    <row r="133" spans="1:9" x14ac:dyDescent="0.25">
      <c r="A133" s="176" t="s">
        <v>448</v>
      </c>
      <c r="B133" s="368">
        <f>Pout_total/VIN_nom/Efficiency</f>
        <v>0.11111111111111112</v>
      </c>
      <c r="C133" s="59" t="s">
        <v>1</v>
      </c>
      <c r="D133" s="59"/>
      <c r="I133" s="49"/>
    </row>
    <row r="134" spans="1:9" x14ac:dyDescent="0.25">
      <c r="A134" s="176" t="s">
        <v>452</v>
      </c>
      <c r="B134" s="368">
        <f>CHOOSE(MODE, 'Calculations - Single'!AJ105, 'Calculations - Dual'!$AI$105)</f>
        <v>0.44094488188976377</v>
      </c>
      <c r="C134" s="59" t="s">
        <v>1</v>
      </c>
      <c r="D134" s="59"/>
      <c r="I134" s="49"/>
    </row>
    <row r="135" spans="1:9" x14ac:dyDescent="0.25">
      <c r="A135" s="176" t="s">
        <v>449</v>
      </c>
      <c r="B135" s="368">
        <f>CHOOSE(MODE, 'Calculations - Single'!AU105, 'Calculations - Dual'!$AT$105)</f>
        <v>3.2550065100130188</v>
      </c>
      <c r="C135" s="9" t="s">
        <v>247</v>
      </c>
      <c r="D135" s="59"/>
      <c r="I135" s="49"/>
    </row>
    <row r="136" spans="1:9" x14ac:dyDescent="0.25">
      <c r="A136" s="176" t="s">
        <v>447</v>
      </c>
      <c r="B136" s="165">
        <f>CHOOSE(MODE, 'Calculations - Single'!BD105, 'Calculations - Dual'!$BB$105)</f>
        <v>36.500072333477981</v>
      </c>
      <c r="C136" s="9" t="s">
        <v>450</v>
      </c>
      <c r="D136" s="59" t="s">
        <v>453</v>
      </c>
      <c r="E136" s="484"/>
      <c r="F136" s="9"/>
      <c r="I136" s="49"/>
    </row>
    <row r="137" spans="1:9" ht="13.8" thickBot="1" x14ac:dyDescent="0.3">
      <c r="A137" s="51"/>
      <c r="B137" s="52"/>
      <c r="C137" s="52"/>
      <c r="D137" s="52"/>
      <c r="E137" s="53"/>
      <c r="F137" s="53"/>
      <c r="G137" s="53"/>
      <c r="H137" s="53"/>
      <c r="I137" s="54"/>
    </row>
    <row r="139" spans="1:9" ht="16.2" thickBot="1" x14ac:dyDescent="0.35">
      <c r="A139" s="39" t="s">
        <v>62</v>
      </c>
    </row>
    <row r="140" spans="1:9" x14ac:dyDescent="0.25">
      <c r="A140" s="40" t="s">
        <v>64</v>
      </c>
      <c r="B140" s="7">
        <f>'LM(2)518x PSR flyback converter'!E30/1000</f>
        <v>0.02</v>
      </c>
      <c r="C140" s="26" t="s">
        <v>51</v>
      </c>
      <c r="D140" s="61" t="s">
        <v>176</v>
      </c>
      <c r="E140" s="26"/>
      <c r="F140" s="26"/>
      <c r="G140" s="26"/>
      <c r="H140" s="26"/>
      <c r="I140" s="27"/>
    </row>
    <row r="141" spans="1:9" x14ac:dyDescent="0.25">
      <c r="A141" s="19" t="s">
        <v>65</v>
      </c>
      <c r="B141" s="173">
        <v>5.0000000000000004E-6</v>
      </c>
      <c r="C141" t="s">
        <v>1</v>
      </c>
      <c r="D141" s="59" t="s">
        <v>307</v>
      </c>
      <c r="I141" s="20"/>
    </row>
    <row r="142" spans="1:9" x14ac:dyDescent="0.25">
      <c r="A142" s="19" t="s">
        <v>66</v>
      </c>
      <c r="B142" s="173">
        <f>0.000005*Tss/1</f>
        <v>1.0000000000000001E-7</v>
      </c>
      <c r="C142" t="s">
        <v>13</v>
      </c>
      <c r="D142" s="59" t="s">
        <v>309</v>
      </c>
      <c r="I142" s="20"/>
    </row>
    <row r="143" spans="1:9" ht="13.8" thickBot="1" x14ac:dyDescent="0.3">
      <c r="A143" s="23" t="s">
        <v>72</v>
      </c>
      <c r="B143" s="174">
        <f>'Standard Value Calculator'!B4</f>
        <v>9.9999999999999995E-8</v>
      </c>
      <c r="C143" s="24" t="s">
        <v>13</v>
      </c>
      <c r="D143" s="62" t="s">
        <v>310</v>
      </c>
      <c r="E143" s="24"/>
      <c r="F143" s="24"/>
      <c r="G143" s="24"/>
      <c r="H143" s="24"/>
      <c r="I143" s="25"/>
    </row>
    <row r="145" spans="1:9" ht="16.2" thickBot="1" x14ac:dyDescent="0.35">
      <c r="A145" s="39" t="s">
        <v>569</v>
      </c>
    </row>
    <row r="146" spans="1:9" ht="12.75" customHeight="1" x14ac:dyDescent="0.25">
      <c r="A146" s="88"/>
      <c r="B146" s="41"/>
      <c r="C146" s="136"/>
      <c r="D146" s="61"/>
      <c r="E146" s="26"/>
      <c r="F146" s="26"/>
      <c r="G146" s="26"/>
      <c r="H146" s="26"/>
      <c r="I146" s="27"/>
    </row>
    <row r="147" spans="1:9" ht="12.75" customHeight="1" x14ac:dyDescent="0.25">
      <c r="A147" s="89" t="s">
        <v>111</v>
      </c>
      <c r="B147" s="166">
        <v>1.5</v>
      </c>
      <c r="C147" s="59" t="s">
        <v>0</v>
      </c>
      <c r="D147" s="59"/>
      <c r="I147" s="20"/>
    </row>
    <row r="148" spans="1:9" ht="12.75" customHeight="1" x14ac:dyDescent="0.25">
      <c r="A148" s="89" t="s">
        <v>112</v>
      </c>
      <c r="B148" s="166">
        <v>1.45</v>
      </c>
      <c r="C148" s="59" t="s">
        <v>0</v>
      </c>
      <c r="D148" s="59"/>
      <c r="I148" s="20"/>
    </row>
    <row r="149" spans="1:9" ht="12.75" customHeight="1" x14ac:dyDescent="0.25">
      <c r="A149" s="89" t="s">
        <v>148</v>
      </c>
      <c r="B149" s="11">
        <f>B147-B148</f>
        <v>5.0000000000000044E-2</v>
      </c>
      <c r="C149" s="59" t="s">
        <v>0</v>
      </c>
      <c r="D149" s="59"/>
      <c r="I149" s="20"/>
    </row>
    <row r="150" spans="1:9" ht="12.75" customHeight="1" x14ac:dyDescent="0.25">
      <c r="A150" s="89" t="s">
        <v>377</v>
      </c>
      <c r="B150">
        <v>0</v>
      </c>
      <c r="C150" s="59" t="s">
        <v>1</v>
      </c>
      <c r="D150" s="59"/>
      <c r="I150" s="20"/>
    </row>
    <row r="151" spans="1:9" ht="12.75" customHeight="1" x14ac:dyDescent="0.25">
      <c r="A151" s="89" t="s">
        <v>376</v>
      </c>
      <c r="B151" s="454">
        <v>5.0000000000000001E-3</v>
      </c>
      <c r="C151" s="59" t="s">
        <v>30</v>
      </c>
      <c r="D151" s="59"/>
      <c r="I151" s="20"/>
    </row>
    <row r="152" spans="1:9" ht="12.75" customHeight="1" x14ac:dyDescent="0.25">
      <c r="A152" s="89" t="s">
        <v>375</v>
      </c>
      <c r="B152" s="455">
        <f>Iuvlo2-Iuvlo1</f>
        <v>5.0000000000000001E-3</v>
      </c>
      <c r="C152" s="59" t="s">
        <v>30</v>
      </c>
      <c r="D152" s="59"/>
      <c r="I152" s="20"/>
    </row>
    <row r="153" spans="1:9" ht="12.75" customHeight="1" x14ac:dyDescent="0.25">
      <c r="A153" s="89"/>
      <c r="B153" s="11"/>
      <c r="C153" s="138"/>
      <c r="D153" s="59"/>
      <c r="I153" s="20"/>
    </row>
    <row r="154" spans="1:9" ht="12.75" customHeight="1" x14ac:dyDescent="0.35">
      <c r="A154" s="89" t="s">
        <v>110</v>
      </c>
      <c r="B154" s="164">
        <f>'LM(2)518x PSR flyback converter'!E36</f>
        <v>8</v>
      </c>
      <c r="C154" s="59" t="s">
        <v>0</v>
      </c>
      <c r="I154" s="20"/>
    </row>
    <row r="155" spans="1:9" ht="12.75" customHeight="1" x14ac:dyDescent="0.35">
      <c r="A155" s="89" t="s">
        <v>294</v>
      </c>
      <c r="B155" s="164">
        <f>'LM(2)518x PSR flyback converter'!E37</f>
        <v>7.5</v>
      </c>
      <c r="C155" s="59" t="s">
        <v>0</v>
      </c>
      <c r="I155" s="20"/>
    </row>
    <row r="156" spans="1:9" ht="12.75" customHeight="1" x14ac:dyDescent="0.25">
      <c r="A156" s="89"/>
      <c r="B156" s="11"/>
      <c r="C156" s="59"/>
      <c r="I156" s="20"/>
    </row>
    <row r="157" spans="1:9" ht="12.75" customHeight="1" x14ac:dyDescent="0.35">
      <c r="A157" s="89" t="s">
        <v>126</v>
      </c>
      <c r="B157" s="134">
        <f>(VINuvlo_off-VINuvlo_on*Vuvlo_off/Vuvlo_on)/(Iuvlo1*Vuvlo_off/Vuvlo_on-Iuvlo2)</f>
        <v>46.666666666666679</v>
      </c>
      <c r="C157" s="12" t="s">
        <v>113</v>
      </c>
      <c r="D157">
        <f>'Standard Value Calculator'!J16</f>
        <v>46.400000000000006</v>
      </c>
      <c r="E157" s="12" t="s">
        <v>113</v>
      </c>
      <c r="F157" s="11">
        <f>IF(Ruvlo1&lt;0,"N/A",D157)</f>
        <v>46.400000000000006</v>
      </c>
      <c r="G157" s="11" t="str">
        <f>IF(Ruvlo1&lt;0,"N/A",D157&amp;"kΩ")</f>
        <v>46.4kΩ</v>
      </c>
      <c r="I157" s="20"/>
    </row>
    <row r="158" spans="1:9" ht="12.75" customHeight="1" x14ac:dyDescent="0.35">
      <c r="A158" s="89" t="s">
        <v>127</v>
      </c>
      <c r="B158" s="167">
        <f>D157*Vuvlo_on/(VINuvlo_on-Vuvlo_on+Ruvlo1*Iuvlo1)</f>
        <v>10.707692307692309</v>
      </c>
      <c r="C158" s="12" t="s">
        <v>113</v>
      </c>
      <c r="D158">
        <f>'Standard Value Calculator'!J17</f>
        <v>10.700000000000001</v>
      </c>
      <c r="E158" s="12" t="s">
        <v>113</v>
      </c>
      <c r="F158" s="11">
        <f>IF(F157="N/A","N/A",D158)</f>
        <v>10.700000000000001</v>
      </c>
      <c r="G158" s="11" t="str">
        <f>IF(G157="N/A","N/A",D158&amp;"kΩ")</f>
        <v>10.7kΩ</v>
      </c>
      <c r="I158" s="20"/>
    </row>
    <row r="159" spans="1:9" ht="12.75" customHeight="1" x14ac:dyDescent="0.3">
      <c r="A159" s="89"/>
      <c r="B159" s="90"/>
      <c r="C159" s="12"/>
      <c r="D159" s="11"/>
      <c r="E159" s="12"/>
      <c r="F159" s="11"/>
      <c r="G159" s="11"/>
      <c r="I159" s="20"/>
    </row>
    <row r="160" spans="1:9" ht="12.75" customHeight="1" x14ac:dyDescent="0.35">
      <c r="A160" s="89" t="s">
        <v>114</v>
      </c>
      <c r="B160" s="514">
        <f>(D157+D158)/D158*Vuvlo_on</f>
        <v>8.0046728971962615</v>
      </c>
      <c r="C160" s="3" t="s">
        <v>0</v>
      </c>
      <c r="F160" s="12"/>
      <c r="I160" s="20"/>
    </row>
    <row r="161" spans="1:9" ht="12.75" customHeight="1" x14ac:dyDescent="0.35">
      <c r="A161" s="89" t="s">
        <v>115</v>
      </c>
      <c r="B161" s="514">
        <f>(D157+D158)/D158*Vuvlo_off-Iuvlo2*D157</f>
        <v>7.5058504672897195</v>
      </c>
      <c r="C161" s="3" t="s">
        <v>0</v>
      </c>
      <c r="F161" s="12"/>
      <c r="I161" s="20"/>
    </row>
    <row r="162" spans="1:9" ht="12.75" customHeight="1" thickBot="1" x14ac:dyDescent="0.3">
      <c r="A162" s="23"/>
      <c r="B162" s="32"/>
      <c r="C162" s="137"/>
      <c r="D162" s="24"/>
      <c r="E162" s="24"/>
      <c r="F162" s="24"/>
      <c r="G162" s="24"/>
      <c r="H162" s="24"/>
      <c r="I162" s="25"/>
    </row>
    <row r="163" spans="1:9" x14ac:dyDescent="0.25">
      <c r="B163" s="11"/>
      <c r="C163" s="138"/>
    </row>
    <row r="164" spans="1:9" ht="16.2" thickBot="1" x14ac:dyDescent="0.35">
      <c r="A164" s="39" t="s">
        <v>529</v>
      </c>
    </row>
    <row r="165" spans="1:9" x14ac:dyDescent="0.25">
      <c r="A165" s="155" t="s">
        <v>16</v>
      </c>
      <c r="B165" s="156">
        <v>3.1415926500000002</v>
      </c>
      <c r="C165" s="157"/>
      <c r="D165" s="158" t="s">
        <v>170</v>
      </c>
      <c r="E165" s="26"/>
      <c r="F165" s="26"/>
      <c r="G165" s="26"/>
      <c r="H165" s="26"/>
      <c r="I165" s="27"/>
    </row>
    <row r="166" spans="1:9" x14ac:dyDescent="0.25">
      <c r="A166" s="59" t="s">
        <v>185</v>
      </c>
      <c r="B166" s="179"/>
      <c r="C166" s="159" t="s">
        <v>184</v>
      </c>
      <c r="D166" s="161" t="s">
        <v>561</v>
      </c>
      <c r="I166" s="20"/>
    </row>
    <row r="167" spans="1:9" x14ac:dyDescent="0.25">
      <c r="A167" s="59" t="s">
        <v>186</v>
      </c>
      <c r="B167" s="179"/>
      <c r="C167" s="159" t="s">
        <v>184</v>
      </c>
      <c r="D167" s="161"/>
      <c r="I167" s="20"/>
    </row>
    <row r="168" spans="1:9" x14ac:dyDescent="0.25">
      <c r="C168"/>
      <c r="I168" s="20"/>
    </row>
    <row r="169" spans="1:9" ht="13.8" x14ac:dyDescent="0.3">
      <c r="A169" s="89" t="s">
        <v>393</v>
      </c>
      <c r="B169" s="149">
        <f>(Vout+Vfwd1)*Nps*10</f>
        <v>203.2</v>
      </c>
      <c r="C169" s="12" t="s">
        <v>113</v>
      </c>
      <c r="D169" s="59" t="s">
        <v>531</v>
      </c>
      <c r="I169" s="20">
        <v>1</v>
      </c>
    </row>
    <row r="170" spans="1:9" ht="13.8" x14ac:dyDescent="0.3">
      <c r="A170" s="29" t="s">
        <v>530</v>
      </c>
      <c r="B170" s="154">
        <f>Rfb/1000</f>
        <v>203.2</v>
      </c>
      <c r="C170" s="12" t="s">
        <v>113</v>
      </c>
      <c r="D170" s="59" t="s">
        <v>528</v>
      </c>
      <c r="I170" s="20"/>
    </row>
    <row r="171" spans="1:9" ht="13.8" x14ac:dyDescent="0.3">
      <c r="A171" s="89" t="s">
        <v>53</v>
      </c>
      <c r="B171" s="31">
        <f>'Standard Value Calculator'!J10/1000</f>
        <v>205</v>
      </c>
      <c r="C171" s="12" t="s">
        <v>113</v>
      </c>
      <c r="D171" s="59" t="s">
        <v>361</v>
      </c>
      <c r="I171" s="20"/>
    </row>
    <row r="172" spans="1:9" ht="13.8" x14ac:dyDescent="0.3">
      <c r="A172" s="59"/>
      <c r="C172" s="12"/>
      <c r="D172" s="59"/>
      <c r="I172" s="20"/>
    </row>
    <row r="173" spans="1:9" x14ac:dyDescent="0.25">
      <c r="A173" s="59" t="s">
        <v>532</v>
      </c>
      <c r="B173" s="465">
        <f>'LM(2)518x PSR flyback converter'!E33</f>
        <v>-1.5</v>
      </c>
      <c r="C173" s="59" t="s">
        <v>386</v>
      </c>
      <c r="D173" s="59"/>
      <c r="I173" s="20"/>
    </row>
    <row r="174" spans="1:9" ht="15.6" x14ac:dyDescent="0.35">
      <c r="A174" s="19" t="s">
        <v>527</v>
      </c>
      <c r="B174" s="317">
        <f>3*B170/Nps/ABS(Diode_TC)*1000</f>
        <v>406399.99999999994</v>
      </c>
      <c r="C174" s="12" t="s">
        <v>136</v>
      </c>
      <c r="D174" s="59"/>
      <c r="I174" s="20"/>
    </row>
    <row r="175" spans="1:9" ht="13.8" x14ac:dyDescent="0.3">
      <c r="A175" t="s">
        <v>533</v>
      </c>
      <c r="B175" s="147">
        <f>'Standard Value Calculator'!J9/1000</f>
        <v>402</v>
      </c>
      <c r="C175" s="12" t="s">
        <v>113</v>
      </c>
      <c r="D175" s="59"/>
      <c r="I175" s="20"/>
    </row>
    <row r="176" spans="1:9" ht="13.8" thickBot="1" x14ac:dyDescent="0.3">
      <c r="A176" s="160"/>
      <c r="B176" s="160"/>
      <c r="C176" s="33"/>
      <c r="D176" s="24"/>
      <c r="E176" s="33"/>
      <c r="F176" s="24"/>
      <c r="G176" s="24"/>
      <c r="H176" s="24"/>
      <c r="I176" s="25"/>
    </row>
    <row r="177" spans="1:9" x14ac:dyDescent="0.25">
      <c r="A177" s="2"/>
      <c r="B177" s="13"/>
      <c r="C177" s="13"/>
      <c r="E177" s="13"/>
    </row>
    <row r="178" spans="1:9" x14ac:dyDescent="0.25">
      <c r="A178" s="2"/>
      <c r="B178" s="13"/>
      <c r="C178" s="13"/>
      <c r="E178" s="13"/>
    </row>
    <row r="179" spans="1:9" ht="16.2" thickBot="1" x14ac:dyDescent="0.35">
      <c r="A179" s="42" t="s">
        <v>83</v>
      </c>
    </row>
    <row r="180" spans="1:9" x14ac:dyDescent="0.25">
      <c r="A180" s="40"/>
      <c r="B180" s="26"/>
      <c r="C180" s="139"/>
      <c r="D180" s="26"/>
      <c r="E180" s="26"/>
      <c r="F180" s="26"/>
      <c r="G180" s="26"/>
      <c r="H180" s="26"/>
      <c r="I180" s="27"/>
    </row>
    <row r="181" spans="1:9" x14ac:dyDescent="0.25">
      <c r="A181" s="29" t="s">
        <v>26</v>
      </c>
      <c r="I181" s="20"/>
    </row>
    <row r="182" spans="1:9" x14ac:dyDescent="0.25">
      <c r="A182" s="19" t="s">
        <v>36</v>
      </c>
      <c r="B182" s="111">
        <f>'LM(2)518x PSR flyback converter'!E45</f>
        <v>55</v>
      </c>
      <c r="C182" s="59" t="s">
        <v>102</v>
      </c>
      <c r="D182" t="s">
        <v>40</v>
      </c>
      <c r="I182" s="20"/>
    </row>
    <row r="183" spans="1:9" x14ac:dyDescent="0.25">
      <c r="A183" s="29" t="s">
        <v>29</v>
      </c>
      <c r="C183"/>
      <c r="I183" s="20"/>
    </row>
    <row r="184" spans="1:9" x14ac:dyDescent="0.25">
      <c r="A184" s="19" t="s">
        <v>35</v>
      </c>
      <c r="B184" s="22">
        <f>4000/1000000</f>
        <v>4.0000000000000001E-3</v>
      </c>
      <c r="C184" s="59" t="s">
        <v>138</v>
      </c>
      <c r="D184" s="59" t="s">
        <v>562</v>
      </c>
      <c r="I184" s="20"/>
    </row>
    <row r="185" spans="1:9" ht="15.6" x14ac:dyDescent="0.35">
      <c r="A185" s="89" t="s">
        <v>177</v>
      </c>
      <c r="B185" s="22">
        <v>20</v>
      </c>
      <c r="C185" s="59" t="s">
        <v>84</v>
      </c>
      <c r="D185" s="59" t="s">
        <v>563</v>
      </c>
      <c r="I185" s="20"/>
    </row>
    <row r="186" spans="1:9" x14ac:dyDescent="0.25">
      <c r="A186" s="19" t="s">
        <v>37</v>
      </c>
      <c r="B186" s="8">
        <f>RCinEsr</f>
        <v>3.0000000000000001E-3</v>
      </c>
      <c r="C186" s="91" t="s">
        <v>45</v>
      </c>
      <c r="D186" s="59" t="s">
        <v>178</v>
      </c>
      <c r="I186" s="20"/>
    </row>
    <row r="187" spans="1:9" x14ac:dyDescent="0.25">
      <c r="A187" s="19"/>
      <c r="B187" s="8"/>
      <c r="C187" s="91"/>
      <c r="D187" s="59"/>
      <c r="I187" s="20"/>
    </row>
    <row r="188" spans="1:9" x14ac:dyDescent="0.25">
      <c r="A188" s="28" t="s">
        <v>52</v>
      </c>
      <c r="C188"/>
      <c r="I188" s="20"/>
    </row>
    <row r="189" spans="1:9" x14ac:dyDescent="0.25">
      <c r="A189" s="89" t="s">
        <v>284</v>
      </c>
      <c r="B189" s="22">
        <f>Vdd</f>
        <v>5</v>
      </c>
      <c r="C189" t="s">
        <v>0</v>
      </c>
      <c r="D189" s="162"/>
      <c r="I189" s="20"/>
    </row>
    <row r="190" spans="1:9" x14ac:dyDescent="0.25">
      <c r="A190" s="19" t="s">
        <v>49</v>
      </c>
      <c r="B190" s="30">
        <f>IQ</f>
        <v>2.9E-4</v>
      </c>
      <c r="C190" t="s">
        <v>1</v>
      </c>
      <c r="D190" t="s">
        <v>50</v>
      </c>
      <c r="I190" s="20"/>
    </row>
    <row r="191" spans="1:9" x14ac:dyDescent="0.25">
      <c r="A191" s="19"/>
      <c r="C191"/>
      <c r="I191" s="20"/>
    </row>
    <row r="192" spans="1:9" x14ac:dyDescent="0.25">
      <c r="A192" s="29" t="s">
        <v>172</v>
      </c>
      <c r="B192" s="3" t="s">
        <v>6</v>
      </c>
      <c r="C192" s="3" t="s">
        <v>33</v>
      </c>
      <c r="I192" s="20"/>
    </row>
    <row r="193" spans="1:9" x14ac:dyDescent="0.25">
      <c r="A193" s="21" t="s">
        <v>44</v>
      </c>
      <c r="B193" s="4"/>
      <c r="C193" s="4" t="s">
        <v>45</v>
      </c>
      <c r="I193" s="20"/>
    </row>
    <row r="194" spans="1:9" x14ac:dyDescent="0.25">
      <c r="A194" s="21" t="s">
        <v>46</v>
      </c>
      <c r="B194" s="9">
        <v>0</v>
      </c>
      <c r="C194" s="59" t="s">
        <v>102</v>
      </c>
      <c r="I194" s="20"/>
    </row>
    <row r="195" spans="1:9" x14ac:dyDescent="0.25">
      <c r="A195" s="21" t="s">
        <v>87</v>
      </c>
      <c r="B195" s="9" t="e">
        <v>#NAME?</v>
      </c>
      <c r="C195" t="s">
        <v>1</v>
      </c>
      <c r="I195" s="20"/>
    </row>
    <row r="196" spans="1:9" x14ac:dyDescent="0.25">
      <c r="A196" s="21" t="s">
        <v>88</v>
      </c>
      <c r="B196" t="e">
        <v>#NAME?</v>
      </c>
      <c r="C196" t="s">
        <v>1</v>
      </c>
      <c r="I196" s="20"/>
    </row>
    <row r="197" spans="1:9" x14ac:dyDescent="0.25">
      <c r="A197" s="21" t="s">
        <v>89</v>
      </c>
      <c r="B197" t="e">
        <f>C197/Vin</f>
        <v>#NAME?</v>
      </c>
      <c r="C197" t="e">
        <v>#NAME?</v>
      </c>
      <c r="I197" s="20"/>
    </row>
    <row r="198" spans="1:9" x14ac:dyDescent="0.25">
      <c r="A198" s="21" t="s">
        <v>91</v>
      </c>
      <c r="B198" t="e">
        <f>SUM(B195:B197)</f>
        <v>#NAME?</v>
      </c>
      <c r="C198" t="s">
        <v>1</v>
      </c>
      <c r="I198" s="20"/>
    </row>
    <row r="199" spans="1:9" ht="13.8" thickBot="1" x14ac:dyDescent="0.3">
      <c r="A199" s="23"/>
      <c r="B199" s="24"/>
      <c r="C199" s="140"/>
      <c r="D199" s="24"/>
      <c r="E199" s="24"/>
      <c r="F199" s="24"/>
      <c r="G199" s="24"/>
      <c r="H199" s="24"/>
      <c r="I199" s="25"/>
    </row>
    <row r="200" spans="1:9" x14ac:dyDescent="0.25">
      <c r="A200" s="2"/>
      <c r="B200" s="2"/>
      <c r="C200" s="2"/>
    </row>
    <row r="201" spans="1:9" ht="21.75" customHeight="1" thickBot="1" x14ac:dyDescent="0.35">
      <c r="A201" s="39" t="s">
        <v>85</v>
      </c>
    </row>
    <row r="202" spans="1:9" x14ac:dyDescent="0.25">
      <c r="A202" s="40"/>
      <c r="B202" s="26"/>
      <c r="C202" s="139"/>
      <c r="D202" s="26"/>
      <c r="E202" s="26"/>
      <c r="F202" s="26"/>
      <c r="G202" s="26"/>
      <c r="H202" s="26"/>
      <c r="I202" s="27"/>
    </row>
    <row r="203" spans="1:9" x14ac:dyDescent="0.25">
      <c r="A203" s="19"/>
      <c r="B203" s="59"/>
      <c r="I203" s="20"/>
    </row>
    <row r="204" spans="1:9" x14ac:dyDescent="0.25">
      <c r="A204" s="19" t="str">
        <f>"RUV1 = "&amp;'LM(2)518x PSR flyback converter'!E38&amp;"MΩ"</f>
        <v>RUV1 = 46.4MΩ</v>
      </c>
      <c r="B204" t="str">
        <f>C245</f>
        <v/>
      </c>
      <c r="I204" s="20"/>
    </row>
    <row r="205" spans="1:9" x14ac:dyDescent="0.25">
      <c r="A205" s="19" t="str">
        <f>"RUV2 = "&amp;'LM(2)518x PSR flyback converter'!E39&amp;"kΩ"</f>
        <v>RUV2 = 10.7kΩ</v>
      </c>
      <c r="B205" t="str">
        <f>C246</f>
        <v/>
      </c>
      <c r="I205" s="20"/>
    </row>
    <row r="206" spans="1:9" x14ac:dyDescent="0.25">
      <c r="A206" s="19"/>
      <c r="I206" s="20"/>
    </row>
    <row r="207" spans="1:9" x14ac:dyDescent="0.25">
      <c r="A207" s="19" t="str">
        <f>"Lmag = "&amp;'LM(2)518x PSR flyback converter'!L7&amp;"µH"</f>
        <v>Lmag = 150µH</v>
      </c>
      <c r="B207" t="str">
        <f>'LM(2)518x PSR flyback converter'!L7&amp;"µH"</f>
        <v>150µH</v>
      </c>
      <c r="I207" s="20"/>
    </row>
    <row r="208" spans="1:9" x14ac:dyDescent="0.25">
      <c r="A208" s="19" t="str">
        <f>"Rdcr = "&amp;Rdcr_pri*1000&amp;"mΩ"</f>
        <v>Rdcr = 800mΩ</v>
      </c>
      <c r="B208" t="str">
        <f>Rdcr_pri*1000&amp;"mΩ"</f>
        <v>800mΩ</v>
      </c>
      <c r="I208" s="20"/>
    </row>
    <row r="209" spans="1:9" x14ac:dyDescent="0.25">
      <c r="A209" s="89" t="s">
        <v>391</v>
      </c>
      <c r="B209" t="str">
        <f>W52</f>
        <v>1 : 1</v>
      </c>
      <c r="I209" s="20"/>
    </row>
    <row r="210" spans="1:9" x14ac:dyDescent="0.25">
      <c r="A210" s="19"/>
      <c r="I210" s="20"/>
    </row>
    <row r="211" spans="1:9" x14ac:dyDescent="0.25">
      <c r="A211" s="19" t="str">
        <f>"Css = "&amp;ROUND(Css_u*1000000000,1)&amp;"nF"</f>
        <v>Css = 100nF</v>
      </c>
      <c r="B211" t="str">
        <f>ROUND(Css_u*1000000000,1)&amp;"nF"</f>
        <v>100nF</v>
      </c>
      <c r="I211" s="20"/>
    </row>
    <row r="212" spans="1:9" x14ac:dyDescent="0.25">
      <c r="A212" s="19"/>
      <c r="I212" s="20"/>
    </row>
    <row r="213" spans="1:9" x14ac:dyDescent="0.25">
      <c r="A213" s="19" t="s">
        <v>57</v>
      </c>
      <c r="B213" t="str">
        <f>VIN_nom&amp;"V"</f>
        <v>20V</v>
      </c>
      <c r="I213" s="20"/>
    </row>
    <row r="214" spans="1:9" x14ac:dyDescent="0.25">
      <c r="A214" s="89" t="s">
        <v>187</v>
      </c>
      <c r="B214" t="str">
        <f>VIN_min&amp;"V..."&amp;VIN_max&amp;"V"</f>
        <v>9V...21V</v>
      </c>
      <c r="I214" s="20"/>
    </row>
    <row r="215" spans="1:9" x14ac:dyDescent="0.25">
      <c r="A215" s="89"/>
      <c r="I215" s="20"/>
    </row>
    <row r="216" spans="1:9" x14ac:dyDescent="0.25">
      <c r="A216" s="19" t="str">
        <f>"VOUT = "&amp;'LM(2)518x PSR flyback converter'!E10&amp;"V"</f>
        <v>VOUT = 20V</v>
      </c>
      <c r="B216" t="str">
        <f>'LM(2)518x PSR flyback converter'!E10&amp;"V"</f>
        <v>20V</v>
      </c>
      <c r="D216">
        <f>MODE</f>
        <v>1</v>
      </c>
      <c r="I216" s="20"/>
    </row>
    <row r="217" spans="1:9" x14ac:dyDescent="0.25">
      <c r="A217" s="19" t="str">
        <f>"VOUT2 = "&amp;'LM(2)518x PSR flyback converter'!E12&amp;"V"</f>
        <v>VOUT2 = -16V</v>
      </c>
      <c r="B217" t="str">
        <f>IF(MODE_TOP="DUAL", 'LM(2)518x PSR flyback converter'!E12&amp;"V", "")</f>
        <v/>
      </c>
      <c r="D217" s="59" t="b">
        <f>MODE=2</f>
        <v>0</v>
      </c>
      <c r="I217" s="20"/>
    </row>
    <row r="218" spans="1:9" x14ac:dyDescent="0.25">
      <c r="A218" s="19" t="str">
        <f>"VOUT2 = "&amp;'LM(2)518x PSR flyback converter'!E12&amp;"V"</f>
        <v>VOUT2 = -16V</v>
      </c>
      <c r="B218" t="str">
        <f>IF(MODE_TOP="BIPOLAR", 'LM(2)518x PSR flyback converter'!E12&amp;"V", "")</f>
        <v/>
      </c>
      <c r="I218" s="20"/>
    </row>
    <row r="219" spans="1:9" x14ac:dyDescent="0.25">
      <c r="A219" s="19"/>
      <c r="I219" s="20"/>
    </row>
    <row r="220" spans="1:9" x14ac:dyDescent="0.25">
      <c r="A220" s="338" t="s">
        <v>521</v>
      </c>
      <c r="B220" s="59" t="str">
        <f>IF(MODE=1, "", "Co1")</f>
        <v/>
      </c>
      <c r="C220" s="59" t="str">
        <f>IF(MODE_TOP="DUAL", "Co2", "")</f>
        <v/>
      </c>
      <c r="D220" s="59" t="str">
        <f>IF(MODE_TOP="BIPOLAR", "Co2", "")</f>
        <v/>
      </c>
      <c r="F220" s="59" t="str">
        <f>MODE_TOP</f>
        <v>SINGLE</v>
      </c>
      <c r="I220" s="20"/>
    </row>
    <row r="221" spans="1:9" x14ac:dyDescent="0.25">
      <c r="A221" s="19" t="str">
        <f>"COUT = "&amp;'LM(2)518x PSR flyback converter'!$E$22&amp;"µF"</f>
        <v>COUT = 20µF</v>
      </c>
      <c r="B221" t="str">
        <f>'LM(2)518x PSR flyback converter'!$E$22&amp;"µF"</f>
        <v>20µF</v>
      </c>
      <c r="C221" t="str">
        <f>IF(MODE_TOP="DUAL", 'LM(2)518x PSR flyback converter'!$L$22&amp;"µF", "")</f>
        <v/>
      </c>
      <c r="D221" t="str">
        <f>IF(MODE_TOP="BIPOLAR", 'LM(2)518x PSR flyback converter'!$L$22&amp;"µF", "")</f>
        <v/>
      </c>
      <c r="F221" t="str">
        <f>'LM(2)518x PSR flyback converter'!$L$22&amp;"µF"</f>
        <v>22µF</v>
      </c>
      <c r="I221" s="20"/>
    </row>
    <row r="222" spans="1:9" x14ac:dyDescent="0.25">
      <c r="A222" s="89" t="s">
        <v>134</v>
      </c>
      <c r="B222" t="str">
        <f>"22µF"</f>
        <v>22µF</v>
      </c>
      <c r="I222" s="20"/>
    </row>
    <row r="223" spans="1:9" x14ac:dyDescent="0.25">
      <c r="A223" s="89" t="s">
        <v>135</v>
      </c>
      <c r="B223" s="60" t="str">
        <f>ROUNDUP(Cout/22,0)&amp;" x"</f>
        <v>1 x</v>
      </c>
      <c r="C223" s="141"/>
      <c r="I223" s="20"/>
    </row>
    <row r="224" spans="1:9" x14ac:dyDescent="0.25">
      <c r="A224" s="89"/>
      <c r="B224" s="60">
        <f>Cout</f>
        <v>20</v>
      </c>
      <c r="C224" s="141"/>
      <c r="I224" s="20"/>
    </row>
    <row r="225" spans="1:9" x14ac:dyDescent="0.25">
      <c r="A225" s="338" t="s">
        <v>522</v>
      </c>
      <c r="I225" s="20"/>
    </row>
    <row r="226" spans="1:9" x14ac:dyDescent="0.25">
      <c r="A226" s="19" t="s">
        <v>95</v>
      </c>
      <c r="B226" t="str">
        <f>Cin&amp;"µF"</f>
        <v>10µF</v>
      </c>
      <c r="I226" s="20"/>
    </row>
    <row r="227" spans="1:9" x14ac:dyDescent="0.25">
      <c r="A227" s="89" t="s">
        <v>133</v>
      </c>
      <c r="B227" t="str">
        <f>"4.7µF"</f>
        <v>4.7µF</v>
      </c>
      <c r="I227" s="20"/>
    </row>
    <row r="228" spans="1:9" x14ac:dyDescent="0.25">
      <c r="A228" s="89" t="s">
        <v>132</v>
      </c>
      <c r="B228" s="60" t="str">
        <f>ROUNDUP(Cin/4.7,0)&amp;" x"</f>
        <v>3 x</v>
      </c>
      <c r="C228" s="141"/>
      <c r="I228" s="20"/>
    </row>
    <row r="229" spans="1:9" x14ac:dyDescent="0.25">
      <c r="A229" s="89"/>
      <c r="B229" s="60"/>
      <c r="I229" s="20"/>
    </row>
    <row r="230" spans="1:9" ht="15.6" x14ac:dyDescent="0.35">
      <c r="A230" s="89" t="s">
        <v>523</v>
      </c>
      <c r="B230" s="502" t="s">
        <v>524</v>
      </c>
      <c r="C230" s="502" t="s">
        <v>564</v>
      </c>
      <c r="I230" s="20"/>
    </row>
    <row r="231" spans="1:9" x14ac:dyDescent="0.25">
      <c r="A231" s="89"/>
      <c r="B231" s="60"/>
      <c r="I231" s="20"/>
    </row>
    <row r="232" spans="1:9" x14ac:dyDescent="0.25">
      <c r="A232" s="338" t="s">
        <v>390</v>
      </c>
      <c r="B232" s="141" t="str">
        <f>IF(MODE_TC=1, "YES", "NO")</f>
        <v>NO</v>
      </c>
      <c r="I232" s="20"/>
    </row>
    <row r="233" spans="1:9" x14ac:dyDescent="0.25">
      <c r="A233" s="89" t="s">
        <v>299</v>
      </c>
      <c r="B233" s="141" t="str">
        <f>IF(MODE_TC=2, "YES", "NO")</f>
        <v>YES</v>
      </c>
      <c r="C233" s="330" t="str">
        <f>IF(MODE_TC=2, "R1", "")</f>
        <v>R1</v>
      </c>
      <c r="D233" s="330" t="str">
        <f>IF(MODE_TC=2, "R2", "")</f>
        <v>R2</v>
      </c>
      <c r="E233" s="330"/>
      <c r="I233" s="20"/>
    </row>
    <row r="234" spans="1:9" x14ac:dyDescent="0.25">
      <c r="A234" s="19" t="str">
        <f>"RFB = "&amp;'LM(2)518x PSR flyback converter'!E27&amp;"kΩ"</f>
        <v>RFB = 203.2kΩ</v>
      </c>
      <c r="B234" t="str">
        <f>IF(MODE_TC=1, "", 'LM(2)518x PSR flyback converter'!E27&amp;"kΩ")</f>
        <v>203.2kΩ</v>
      </c>
      <c r="C234" s="59" t="str">
        <f>'LM(2)518x PSR flyback converter'!E27&amp;"kΩ"</f>
        <v>203.2kΩ</v>
      </c>
      <c r="I234" s="20"/>
    </row>
    <row r="235" spans="1:9" x14ac:dyDescent="0.25">
      <c r="A235" s="19" t="str">
        <f>"RFB2 = "&amp;IF(Vout=Vref,"OPEN",'LM(2)518x PSR flyback converter'!E28&amp;"kΩ")</f>
        <v>RFB2 = 203.2kΩ</v>
      </c>
      <c r="B235" t="str">
        <f>IF(MODE_TC=1, "", IF(Vout=Vref,"OPEN",Rfb2_u/1000&amp;"kΩ"))</f>
        <v>0.205kΩ</v>
      </c>
      <c r="C235" s="59" t="str">
        <f>'LM(2)518x PSR flyback converter'!E28&amp;"kΩ"</f>
        <v>203.2kΩ</v>
      </c>
      <c r="I235" s="20"/>
    </row>
    <row r="236" spans="1:9" x14ac:dyDescent="0.25">
      <c r="A236" s="19"/>
      <c r="C236" s="59"/>
      <c r="I236" s="20"/>
    </row>
    <row r="237" spans="1:9" x14ac:dyDescent="0.25">
      <c r="A237" s="89" t="s">
        <v>303</v>
      </c>
      <c r="B237" s="3" t="str">
        <f>IF(MODE=1, "YES", "NO")</f>
        <v>YES</v>
      </c>
      <c r="C237" t="str">
        <f>IF(MODE=1,"Rt", "")</f>
        <v>Rt</v>
      </c>
      <c r="I237" s="20"/>
    </row>
    <row r="238" spans="1:9" x14ac:dyDescent="0.25">
      <c r="A238" s="89" t="s">
        <v>139</v>
      </c>
      <c r="B238" t="e">
        <f>IF(MODE=2, "", 'Standard Value Calculator'!J4/1000&amp;"kΩ")</f>
        <v>#NAME?</v>
      </c>
      <c r="I238" s="20"/>
    </row>
    <row r="239" spans="1:9" x14ac:dyDescent="0.25">
      <c r="A239" s="89"/>
      <c r="I239" s="20"/>
    </row>
    <row r="240" spans="1:9" x14ac:dyDescent="0.25">
      <c r="A240" s="338" t="s">
        <v>380</v>
      </c>
      <c r="B240" s="141" t="str">
        <f>IF(MODE=1, "YES", "NO")</f>
        <v>YES</v>
      </c>
      <c r="C240" s="59" t="str">
        <f>IF(TC=1,"Rtc", "")</f>
        <v/>
      </c>
      <c r="I240" s="20"/>
    </row>
    <row r="241" spans="1:9" x14ac:dyDescent="0.25">
      <c r="A241" s="456" t="str">
        <f>"RTC = "&amp;RTC&amp;"kΩ"</f>
        <v>RTC = 402kΩ</v>
      </c>
      <c r="B241" t="str">
        <f>IF(TC=1, RTC&amp;"kΩ", "")</f>
        <v/>
      </c>
      <c r="C241" s="59" t="str">
        <f>CHOOSE(TC,"Rtc","")</f>
        <v/>
      </c>
      <c r="F241" s="5"/>
      <c r="I241" s="20"/>
    </row>
    <row r="242" spans="1:9" x14ac:dyDescent="0.25">
      <c r="A242" s="89" t="s">
        <v>383</v>
      </c>
      <c r="B242" s="60"/>
      <c r="C242"/>
      <c r="F242" s="5"/>
      <c r="I242" s="20"/>
    </row>
    <row r="243" spans="1:9" x14ac:dyDescent="0.25">
      <c r="A243" s="19"/>
      <c r="B243" s="60"/>
      <c r="C243" s="141"/>
      <c r="E243" s="91"/>
      <c r="I243" s="20"/>
    </row>
    <row r="244" spans="1:9" x14ac:dyDescent="0.25">
      <c r="A244" s="338" t="s">
        <v>306</v>
      </c>
      <c r="B244" s="141" t="str">
        <f>IF(MODE_UVLO=1, "YES", "NO")</f>
        <v>NO</v>
      </c>
      <c r="C244" s="330" t="str">
        <f>IF(MODE_UVLO=1, "Ruv1", "")</f>
        <v/>
      </c>
      <c r="D244" s="330" t="str">
        <f>IF(MODE_UVLO=1, "Ruv2", "")</f>
        <v/>
      </c>
      <c r="E244" s="330"/>
      <c r="F244" s="330" t="s">
        <v>6</v>
      </c>
      <c r="G244" s="330" t="s">
        <v>33</v>
      </c>
      <c r="H244" s="59" t="s">
        <v>340</v>
      </c>
      <c r="I244" s="20"/>
    </row>
    <row r="245" spans="1:9" x14ac:dyDescent="0.25">
      <c r="A245" s="19" t="str">
        <f>"RUV1 = "&amp;C245</f>
        <v xml:space="preserve">RUV1 = </v>
      </c>
      <c r="B245" t="str">
        <f>'LM(2)518x PSR flyback converter'!E38&amp;" kΩ"</f>
        <v>46.4 kΩ</v>
      </c>
      <c r="C245" s="330" t="str">
        <f>IF(MODE_UVLO=1,'LM(2)518x PSR flyback converter'!E38&amp;"kΩ", "")</f>
        <v/>
      </c>
      <c r="F245" t="str">
        <f>IF(MODE_UVLO=1,'LM(2)518x PSR flyback converter'!E38, "")</f>
        <v/>
      </c>
      <c r="G245" s="59" t="str">
        <f>IF(MODE_UVLO=1,"kΩ", "")</f>
        <v/>
      </c>
      <c r="H245" s="330" t="str">
        <f>IF(MODE_UVLO=1,'LM(2)518x PSR flyback converter'!E38&amp;"k", "")</f>
        <v/>
      </c>
      <c r="I245" s="20"/>
    </row>
    <row r="246" spans="1:9" x14ac:dyDescent="0.25">
      <c r="A246" s="19" t="str">
        <f>"RUV2 = "&amp;C246</f>
        <v xml:space="preserve">RUV2 = </v>
      </c>
      <c r="B246" t="str">
        <f>IF(D158&gt;=1000, D158/1000&amp;" MΩ", D158&amp;" kΩ")</f>
        <v>10.7 kΩ</v>
      </c>
      <c r="C246" s="330" t="str">
        <f>IF(MODE_UVLO=1, IF(D158&lt;1, D158*1000&amp;"Ω", IF(D158&lt;1000, D158&amp;"kΩ", D158/1000&amp;"MΩ")), "")</f>
        <v/>
      </c>
      <c r="F246" t="str">
        <f>IF(MODE_UVLO=1, IF(D158&lt;1, D158*1000, IF(D158&lt;1000, D158, D158/1000)), "")</f>
        <v/>
      </c>
      <c r="G246" s="59" t="str">
        <f>IF(MODE_UVLO=1, IF(D158&lt;1, "Ω", IF(D158&lt;1000,"kΩ", "MΩ")), "")</f>
        <v/>
      </c>
      <c r="H246" s="330" t="str">
        <f>IF(MODE_UVLO=1, IF(D158&lt;1, D158*1000, IF(D158&lt;1000, D158&amp;"k", D158/1000&amp;"M")), "")</f>
        <v/>
      </c>
      <c r="I246" s="20"/>
    </row>
    <row r="247" spans="1:9" x14ac:dyDescent="0.25">
      <c r="A247" s="19"/>
      <c r="C247" s="330"/>
      <c r="G247" s="59"/>
      <c r="H247" s="330"/>
      <c r="I247" s="20"/>
    </row>
    <row r="248" spans="1:9" x14ac:dyDescent="0.25">
      <c r="A248" s="338" t="s">
        <v>384</v>
      </c>
      <c r="C248" s="330"/>
      <c r="G248" s="59"/>
      <c r="H248" s="330"/>
      <c r="I248" s="20"/>
    </row>
    <row r="249" spans="1:9" x14ac:dyDescent="0.25">
      <c r="A249" s="19" t="str">
        <f>"RSET = "&amp;C249</f>
        <v>RSET = 12.1kΩ</v>
      </c>
      <c r="B249" s="59" t="s">
        <v>379</v>
      </c>
      <c r="C249" s="59" t="s">
        <v>544</v>
      </c>
      <c r="F249" t="str">
        <f>IF(MODE_UVLO=1, IF(D159&lt;1, D159*1000, IF(D159&lt;1000, D159, D159/1000)), "")</f>
        <v/>
      </c>
      <c r="G249" s="59" t="str">
        <f>IF(MODE_UVLO=1, IF(D159&lt;1, "Ω", IF(D159&lt;1000,"kΩ", "MΩ")), "")</f>
        <v/>
      </c>
      <c r="H249" s="330" t="str">
        <f>IF(MODE_UVLO=1, IF(D159&lt;1, D159*1000, IF(D159&lt;1000, D159&amp;"k", D159&amp;"M")), "")</f>
        <v/>
      </c>
      <c r="I249" s="20"/>
    </row>
    <row r="250" spans="1:9" x14ac:dyDescent="0.25">
      <c r="A250" s="19"/>
      <c r="B250" s="59"/>
      <c r="C250" s="59"/>
      <c r="G250" s="59"/>
      <c r="H250" s="330"/>
      <c r="I250" s="20"/>
    </row>
    <row r="251" spans="1:9" x14ac:dyDescent="0.25">
      <c r="A251" s="338" t="s">
        <v>385</v>
      </c>
      <c r="B251" s="60"/>
      <c r="C251" s="141"/>
      <c r="E251" s="91"/>
      <c r="I251" s="20"/>
    </row>
    <row r="252" spans="1:9" x14ac:dyDescent="0.25">
      <c r="A252" s="19" t="str">
        <f>"Css = "&amp;Css*1000000000&amp;"nF"</f>
        <v>Css = 100nF</v>
      </c>
      <c r="B252" t="str">
        <f>Css*1000000000&amp;"nF"</f>
        <v>100nF</v>
      </c>
      <c r="I252" s="20"/>
    </row>
    <row r="253" spans="1:9" x14ac:dyDescent="0.25">
      <c r="A253" s="19" t="s">
        <v>66</v>
      </c>
      <c r="B253" t="str">
        <f>CHOOSE(MODE_SS,'Standard Value Calculator'!B4*1000000000&amp;"nF","")</f>
        <v/>
      </c>
      <c r="C253" t="str">
        <f>CHOOSE(MODE_SS,"Css","")</f>
        <v/>
      </c>
      <c r="D253" s="339" t="str">
        <f>B253</f>
        <v/>
      </c>
      <c r="I253" s="20"/>
    </row>
    <row r="254" spans="1:9" x14ac:dyDescent="0.25">
      <c r="A254" s="19"/>
      <c r="C254" s="59" t="str">
        <f>C253</f>
        <v/>
      </c>
      <c r="D254" s="3"/>
      <c r="I254" s="20"/>
    </row>
    <row r="255" spans="1:9" x14ac:dyDescent="0.25">
      <c r="A255" s="19"/>
      <c r="C255" s="59"/>
      <c r="D255" s="3"/>
      <c r="I255" s="20"/>
    </row>
    <row r="256" spans="1:9" x14ac:dyDescent="0.25">
      <c r="A256" s="89" t="s">
        <v>653</v>
      </c>
      <c r="B256" s="59">
        <f>ROUND(Iout*2,1)</f>
        <v>0.2</v>
      </c>
      <c r="C256" s="59" t="s">
        <v>1</v>
      </c>
      <c r="I256" s="20"/>
    </row>
    <row r="257" spans="1:9" x14ac:dyDescent="0.25">
      <c r="A257" s="89" t="s">
        <v>654</v>
      </c>
      <c r="B257">
        <f>ROUND(VRRM_DIODE,0)</f>
        <v>41</v>
      </c>
      <c r="C257" s="59" t="s">
        <v>0</v>
      </c>
      <c r="I257" s="20"/>
    </row>
    <row r="258" spans="1:9" x14ac:dyDescent="0.25">
      <c r="I258" s="20"/>
    </row>
    <row r="259" spans="1:9" x14ac:dyDescent="0.25">
      <c r="A259" s="89"/>
      <c r="B259" s="60"/>
      <c r="C259"/>
      <c r="I259" s="20"/>
    </row>
    <row r="260" spans="1:9" x14ac:dyDescent="0.25">
      <c r="A260" s="89" t="s">
        <v>129</v>
      </c>
      <c r="B260" s="59" t="s">
        <v>311</v>
      </c>
      <c r="C260"/>
      <c r="I260" s="20"/>
    </row>
    <row r="261" spans="1:9" x14ac:dyDescent="0.25">
      <c r="A261" s="89"/>
      <c r="B261" s="59"/>
      <c r="C261"/>
      <c r="I261" s="20"/>
    </row>
    <row r="262" spans="1:9" x14ac:dyDescent="0.25">
      <c r="A262" s="89" t="s">
        <v>183</v>
      </c>
      <c r="B262" s="60" t="str">
        <f>CHOOSE(MODE, ROUND('Calculations - Single'!$CD$105,1)&amp;"%", ROUND('Calculations - Dual'!CF105,1)&amp;"%")</f>
        <v>90.4%</v>
      </c>
      <c r="C262"/>
      <c r="I262" s="20"/>
    </row>
    <row r="263" spans="1:9" x14ac:dyDescent="0.25">
      <c r="A263" s="89" t="s">
        <v>501</v>
      </c>
      <c r="B263" s="60" t="str">
        <f>ROUND('Calculations - Single'!$CD$55,1)&amp;"%"</f>
        <v>89.8%</v>
      </c>
      <c r="C263"/>
      <c r="I263" s="20"/>
    </row>
    <row r="264" spans="1:9" x14ac:dyDescent="0.25">
      <c r="A264" s="89" t="s">
        <v>308</v>
      </c>
      <c r="B264" s="60" t="str">
        <f>ROUND('Calculations - Single'!$CD$15,1)&amp;"%"</f>
        <v>83.1%</v>
      </c>
      <c r="C264" s="59" t="s">
        <v>313</v>
      </c>
      <c r="I264" s="20"/>
    </row>
    <row r="265" spans="1:9" x14ac:dyDescent="0.25">
      <c r="A265" s="89" t="s">
        <v>312</v>
      </c>
      <c r="B265" s="60" t="str">
        <f>ROUND(Parameters!BZ56,1)&amp;"%"</f>
        <v>0%</v>
      </c>
      <c r="C265" s="59" t="s">
        <v>314</v>
      </c>
      <c r="I265" s="20"/>
    </row>
    <row r="266" spans="1:9" x14ac:dyDescent="0.25">
      <c r="A266" s="19"/>
      <c r="I266" s="20"/>
    </row>
    <row r="267" spans="1:9" x14ac:dyDescent="0.25">
      <c r="A267" s="19"/>
      <c r="I267" s="20"/>
    </row>
    <row r="268" spans="1:9" x14ac:dyDescent="0.25">
      <c r="A268" s="19"/>
      <c r="I268" s="20"/>
    </row>
    <row r="269" spans="1:9" x14ac:dyDescent="0.25">
      <c r="A269" s="19" t="s">
        <v>80</v>
      </c>
      <c r="B269" t="str">
        <f>IF(C269="y","","|")</f>
        <v>|</v>
      </c>
      <c r="C269" s="3" t="s">
        <v>320</v>
      </c>
      <c r="I269" s="20"/>
    </row>
    <row r="270" spans="1:9" x14ac:dyDescent="0.25">
      <c r="A270" s="19"/>
      <c r="I270" s="20"/>
    </row>
    <row r="271" spans="1:9" x14ac:dyDescent="0.25">
      <c r="A271" s="434" t="s">
        <v>86</v>
      </c>
      <c r="B271" t="str">
        <f>'LM(2)518x PSR flyback converter'!$E$11&amp;"A"</f>
        <v>0.1A</v>
      </c>
      <c r="I271" s="20"/>
    </row>
    <row r="272" spans="1:9" x14ac:dyDescent="0.25">
      <c r="A272" s="434" t="s">
        <v>520</v>
      </c>
      <c r="B272" t="str">
        <f>IF(MODE_TOP="DUAL", 'LM(2)518x PSR flyback converter'!$E$13&amp;"A", "")</f>
        <v/>
      </c>
      <c r="D272" s="59">
        <f>MODE</f>
        <v>1</v>
      </c>
      <c r="I272" s="20"/>
    </row>
    <row r="273" spans="1:9" x14ac:dyDescent="0.25">
      <c r="A273" s="434" t="s">
        <v>519</v>
      </c>
      <c r="B273" t="str">
        <f>IF(MODE_TOP="BIPOLAR", Iout2_actual&amp;"A", "")</f>
        <v/>
      </c>
      <c r="I273" s="20"/>
    </row>
    <row r="274" spans="1:9" x14ac:dyDescent="0.25">
      <c r="A274" s="19"/>
      <c r="I274" s="20"/>
    </row>
    <row r="275" spans="1:9" x14ac:dyDescent="0.25">
      <c r="A275" s="89" t="s">
        <v>94</v>
      </c>
      <c r="B275">
        <v>1</v>
      </c>
      <c r="I275" s="20"/>
    </row>
    <row r="276" spans="1:9" x14ac:dyDescent="0.25">
      <c r="A276" s="89" t="s">
        <v>93</v>
      </c>
      <c r="B276">
        <v>2</v>
      </c>
      <c r="I276" s="20"/>
    </row>
    <row r="277" spans="1:9" x14ac:dyDescent="0.25">
      <c r="A277" s="89" t="s">
        <v>57</v>
      </c>
      <c r="B277">
        <v>3</v>
      </c>
      <c r="I277" s="20"/>
    </row>
    <row r="278" spans="1:9" x14ac:dyDescent="0.25">
      <c r="A278" s="89" t="s">
        <v>565</v>
      </c>
      <c r="B278">
        <v>4</v>
      </c>
      <c r="I278" s="20"/>
    </row>
    <row r="279" spans="1:9" x14ac:dyDescent="0.25">
      <c r="A279" s="89" t="s">
        <v>566</v>
      </c>
      <c r="B279">
        <v>5</v>
      </c>
      <c r="I279" s="20"/>
    </row>
    <row r="280" spans="1:9" x14ac:dyDescent="0.25">
      <c r="A280" s="89" t="s">
        <v>567</v>
      </c>
      <c r="B280">
        <v>6</v>
      </c>
      <c r="I280" s="20"/>
    </row>
    <row r="281" spans="1:9" x14ac:dyDescent="0.25">
      <c r="A281" s="89" t="s">
        <v>568</v>
      </c>
      <c r="B281">
        <v>7</v>
      </c>
      <c r="I281" s="20"/>
    </row>
    <row r="282" spans="1:9" x14ac:dyDescent="0.25">
      <c r="A282" s="89" t="s">
        <v>92</v>
      </c>
      <c r="B282">
        <v>8</v>
      </c>
      <c r="I282" s="20"/>
    </row>
    <row r="283" spans="1:9" ht="13.8" thickBot="1" x14ac:dyDescent="0.3">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33203125" defaultRowHeight="13.2" x14ac:dyDescent="0.25"/>
  <cols>
    <col min="1" max="1" width="10.44140625" style="150" customWidth="1"/>
    <col min="2" max="2" width="10.6640625" style="150" customWidth="1"/>
    <col min="3" max="3" width="6.33203125" style="150" customWidth="1"/>
    <col min="4" max="4" width="16.33203125" style="150" customWidth="1"/>
    <col min="5" max="5" width="4.44140625" style="150" customWidth="1"/>
    <col min="6" max="6" width="3.33203125" style="150" customWidth="1"/>
    <col min="7" max="7" width="16.33203125" style="150" customWidth="1"/>
    <col min="8" max="8" width="15.6640625" style="150" customWidth="1"/>
    <col min="9" max="9" width="10" style="150" customWidth="1"/>
    <col min="10" max="10" width="10.6640625" style="150" customWidth="1"/>
    <col min="11" max="11" width="10.33203125" style="150" customWidth="1"/>
    <col min="12" max="14" width="11.6640625" style="150" customWidth="1"/>
    <col min="15" max="15" width="14.33203125" style="150" customWidth="1"/>
    <col min="16" max="16" width="11" style="150" customWidth="1"/>
    <col min="17" max="17" width="12" style="150" customWidth="1"/>
    <col min="18" max="18" width="11.44140625" style="150" customWidth="1"/>
    <col min="19" max="19" width="10.6640625" style="150" customWidth="1"/>
    <col min="20" max="20" width="11.44140625" style="150" customWidth="1"/>
    <col min="21" max="21" width="11.6640625" style="150" customWidth="1"/>
    <col min="22" max="22" width="13.5546875" style="150" customWidth="1"/>
    <col min="23" max="23" width="9.44140625" style="150" customWidth="1"/>
    <col min="24" max="24" width="16.33203125" style="150" bestFit="1" customWidth="1"/>
    <col min="25" max="25" width="16.33203125" style="152" customWidth="1"/>
    <col min="26" max="26" width="8.6640625" style="150" bestFit="1" customWidth="1"/>
    <col min="27" max="27" width="13.44140625" style="150" bestFit="1" customWidth="1"/>
    <col min="28" max="28" width="9.33203125" style="150" bestFit="1" customWidth="1"/>
    <col min="29" max="29" width="9.33203125" style="150"/>
    <col min="30" max="30" width="13.5546875" style="150" customWidth="1"/>
    <col min="31" max="31" width="10.5546875" style="150" customWidth="1"/>
    <col min="32" max="32" width="9.33203125" style="150"/>
    <col min="33" max="33" width="9.33203125" style="150" bestFit="1" customWidth="1"/>
    <col min="34" max="34" width="11.33203125" style="150" bestFit="1" customWidth="1"/>
    <col min="35" max="35" width="5.6640625" style="150" customWidth="1"/>
    <col min="36" max="36" width="12.33203125" style="150" customWidth="1"/>
    <col min="37" max="37" width="8.6640625" style="150" customWidth="1"/>
    <col min="38" max="38" width="18.33203125" style="150" customWidth="1"/>
    <col min="39" max="39" width="45.33203125" style="150" customWidth="1"/>
    <col min="40" max="40" width="19.33203125" style="150" bestFit="1" customWidth="1"/>
    <col min="41" max="41" width="40.6640625" style="150" bestFit="1" customWidth="1"/>
    <col min="42" max="42" width="40.33203125" style="150" bestFit="1" customWidth="1"/>
    <col min="43" max="43" width="40.6640625" style="150" bestFit="1" customWidth="1"/>
    <col min="44" max="44" width="40.33203125" style="150" bestFit="1" customWidth="1"/>
    <col min="45" max="45" width="28.44140625" style="150" customWidth="1"/>
    <col min="46" max="16384" width="9.33203125" style="150"/>
  </cols>
  <sheetData>
    <row r="1" spans="1:44" ht="13.8" thickBot="1" x14ac:dyDescent="0.3"/>
    <row r="2" spans="1:44" x14ac:dyDescent="0.25">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5">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5">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34.081499999999998</v>
      </c>
      <c r="X4" s="621" t="s">
        <v>2</v>
      </c>
      <c r="Y4" s="386">
        <f>20*LOG(Am*Afb)</f>
        <v>1.6557074063289998</v>
      </c>
      <c r="Z4" s="150" t="s">
        <v>787</v>
      </c>
    </row>
    <row r="5" spans="1:44" x14ac:dyDescent="0.25">
      <c r="H5" s="558" t="s">
        <v>712</v>
      </c>
      <c r="I5" s="241">
        <f>1/(2*Pi*REAout*Ccomp)</f>
        <v>0.5526213308116541</v>
      </c>
      <c r="J5" s="559" t="s">
        <v>8</v>
      </c>
      <c r="K5" s="560"/>
      <c r="L5" s="168"/>
      <c r="M5" s="559"/>
      <c r="N5" s="563"/>
      <c r="O5" s="563"/>
      <c r="P5" s="560" t="s">
        <v>727</v>
      </c>
      <c r="Q5" s="562">
        <f>Rload_pri/(2*Pi*Lmag*M*(M+1))</f>
        <v>47011.921705478802</v>
      </c>
      <c r="R5" s="559" t="s">
        <v>8</v>
      </c>
      <c r="S5" s="560"/>
      <c r="T5" s="151"/>
      <c r="U5" s="559"/>
      <c r="V5" s="619" t="s">
        <v>713</v>
      </c>
      <c r="W5" s="622">
        <f>AK9</f>
        <v>21.035379837528779</v>
      </c>
      <c r="X5" s="623" t="s">
        <v>714</v>
      </c>
      <c r="Y5" s="386">
        <f>20*LOG(Am)</f>
        <v>23.521825181113623</v>
      </c>
      <c r="Z5" s="150" t="s">
        <v>787</v>
      </c>
    </row>
    <row r="6" spans="1:44" x14ac:dyDescent="0.25">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8" thickBot="1" x14ac:dyDescent="0.3">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34.081499999999998</v>
      </c>
    </row>
    <row r="8" spans="1:44" x14ac:dyDescent="0.25">
      <c r="H8" s="571"/>
      <c r="I8" s="175"/>
      <c r="L8" s="191"/>
      <c r="M8" s="191"/>
      <c r="N8" s="191"/>
    </row>
    <row r="9" spans="1:44" ht="13.8" thickBot="1" x14ac:dyDescent="0.3">
      <c r="A9" s="612"/>
      <c r="B9" s="232" t="s">
        <v>773</v>
      </c>
      <c r="AJ9" s="150" t="s">
        <v>720</v>
      </c>
      <c r="AK9" s="152">
        <f>SUM(AK13:AK613)</f>
        <v>21.035379837528779</v>
      </c>
    </row>
    <row r="10" spans="1:44" ht="13.8" x14ac:dyDescent="0.25">
      <c r="A10" s="615"/>
      <c r="B10" s="232" t="s">
        <v>777</v>
      </c>
      <c r="G10" s="704" t="s">
        <v>721</v>
      </c>
      <c r="H10" s="707" t="s">
        <v>771</v>
      </c>
      <c r="I10" s="709" t="s">
        <v>722</v>
      </c>
      <c r="J10" s="710"/>
      <c r="K10" s="710"/>
      <c r="L10" s="710"/>
      <c r="M10" s="710"/>
      <c r="N10" s="711"/>
      <c r="O10" s="709" t="s">
        <v>723</v>
      </c>
      <c r="P10" s="710"/>
      <c r="Q10" s="710"/>
      <c r="R10" s="710"/>
      <c r="S10" s="710"/>
      <c r="T10" s="711"/>
      <c r="U10" s="712" t="s">
        <v>775</v>
      </c>
      <c r="V10" s="713"/>
      <c r="W10" s="712" t="s">
        <v>724</v>
      </c>
      <c r="X10" s="719"/>
      <c r="Y10" s="720"/>
      <c r="AD10" s="721" t="s">
        <v>725</v>
      </c>
      <c r="AE10" s="722"/>
      <c r="AG10" s="721" t="s">
        <v>726</v>
      </c>
      <c r="AH10" s="722"/>
      <c r="AM10" s="238" t="s">
        <v>776</v>
      </c>
    </row>
    <row r="11" spans="1:44" x14ac:dyDescent="0.25">
      <c r="G11" s="705"/>
      <c r="H11" s="708"/>
      <c r="I11" s="723" t="s">
        <v>710</v>
      </c>
      <c r="J11" s="724"/>
      <c r="K11" s="724" t="s">
        <v>705</v>
      </c>
      <c r="L11" s="725"/>
      <c r="M11" s="726" t="s">
        <v>727</v>
      </c>
      <c r="N11" s="727"/>
      <c r="O11" s="723" t="s">
        <v>728</v>
      </c>
      <c r="P11" s="724"/>
      <c r="Q11" s="724" t="s">
        <v>729</v>
      </c>
      <c r="R11" s="725"/>
      <c r="S11" s="726" t="s">
        <v>730</v>
      </c>
      <c r="T11" s="727"/>
      <c r="U11" s="723" t="s">
        <v>706</v>
      </c>
      <c r="V11" s="725"/>
      <c r="W11" s="560"/>
      <c r="X11" s="151"/>
      <c r="Y11" s="572"/>
      <c r="AD11" s="560"/>
      <c r="AE11" s="559"/>
      <c r="AG11" s="560"/>
      <c r="AH11" s="559"/>
    </row>
    <row r="12" spans="1:44" ht="13.8" thickBot="1" x14ac:dyDescent="0.3">
      <c r="F12" s="610"/>
      <c r="G12" s="706"/>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5">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1.0000000000022622</v>
      </c>
      <c r="N13" s="585">
        <f t="shared" ref="N13:N76" si="5">-ATAN(G13/z_RHP)</f>
        <v>-2.1271200234342923E-6</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96.720751086824649</v>
      </c>
      <c r="X13" s="590">
        <f t="shared" ref="X13:X76" si="13">((L13+R13+N13+V13)-(J13+P13+T13))*radconv</f>
        <v>-10.258495592910318</v>
      </c>
      <c r="Y13" s="591">
        <f t="shared" ref="Y13:Y76" si="14">IF(X13&gt;0,X13,X13+180)</f>
        <v>169.74150440708968</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27.047125371823913</v>
      </c>
      <c r="AH13" s="593">
        <f t="shared" ref="AH13:AH76" si="20">(L13+N13-(J13+V13))*radconv</f>
        <v>-5.6367891746655014E-3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5">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1.0000000002720015</v>
      </c>
      <c r="N14" s="585">
        <f t="shared" si="5"/>
        <v>-2.3323871052762773E-5</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89.92607611608409</v>
      </c>
      <c r="X14" s="590">
        <f t="shared" si="13"/>
        <v>-63.268840380462962</v>
      </c>
      <c r="Y14" s="593">
        <f t="shared" si="14"/>
        <v>116.73115961953704</v>
      </c>
      <c r="AA14" s="150">
        <f t="shared" si="15"/>
        <v>1000000000</v>
      </c>
      <c r="AB14" s="150">
        <f t="shared" si="16"/>
        <v>1.2023122500000001</v>
      </c>
      <c r="AD14" s="592">
        <f t="shared" si="17"/>
        <v>88.273848729113467</v>
      </c>
      <c r="AE14" s="593">
        <f t="shared" si="18"/>
        <v>-63.205454162803761</v>
      </c>
      <c r="AG14" s="592">
        <f t="shared" si="19"/>
        <v>27.047120445780596</v>
      </c>
      <c r="AH14" s="593">
        <f t="shared" si="20"/>
        <v>-6.1807259044929862E-2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5">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1.0000000003270242</v>
      </c>
      <c r="N15" s="585">
        <f t="shared" si="5"/>
        <v>-2.5574364036213442E-5</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89.276580322621172</v>
      </c>
      <c r="X15" s="590">
        <f t="shared" si="13"/>
        <v>-65.332656657530237</v>
      </c>
      <c r="Y15" s="593">
        <f t="shared" si="14"/>
        <v>114.66734334246976</v>
      </c>
      <c r="AA15" s="150">
        <f t="shared" si="15"/>
        <v>1000000000</v>
      </c>
      <c r="AB15" s="150">
        <f t="shared" si="16"/>
        <v>1.4455252899999997</v>
      </c>
      <c r="AD15" s="592">
        <f t="shared" si="17"/>
        <v>87.624353940705731</v>
      </c>
      <c r="AE15" s="593">
        <f t="shared" si="18"/>
        <v>-65.263154381715353</v>
      </c>
      <c r="AG15" s="592">
        <f t="shared" si="19"/>
        <v>27.047119440945533</v>
      </c>
      <c r="AH15" s="593">
        <f t="shared" si="20"/>
        <v>-6.7770962367923335E-2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5">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1.0000000003931719</v>
      </c>
      <c r="N16" s="585">
        <f t="shared" si="5"/>
        <v>-2.8041823261626396E-5</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88.605899564173399</v>
      </c>
      <c r="X16" s="590">
        <f t="shared" si="13"/>
        <v>-67.276576776243942</v>
      </c>
      <c r="Y16" s="593">
        <f t="shared" si="14"/>
        <v>112.72342322375606</v>
      </c>
      <c r="AA16" s="150">
        <f t="shared" si="15"/>
        <v>1000000000</v>
      </c>
      <c r="AB16" s="150">
        <f t="shared" si="16"/>
        <v>1.7379148900000001</v>
      </c>
      <c r="AD16" s="592">
        <f t="shared" si="17"/>
        <v>86.953674390530381</v>
      </c>
      <c r="AE16" s="593">
        <f t="shared" si="18"/>
        <v>-67.200368808182958</v>
      </c>
      <c r="AG16" s="592">
        <f t="shared" si="19"/>
        <v>27.047118232937745</v>
      </c>
      <c r="AH16" s="593">
        <f t="shared" si="20"/>
        <v>-7.4309617780113357E-2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5">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1.0000000004726395</v>
      </c>
      <c r="N17" s="585">
        <f t="shared" si="5"/>
        <v>-3.0745392809077974E-5</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87.916953351876856</v>
      </c>
      <c r="X17" s="590">
        <f t="shared" si="13"/>
        <v>-69.09812190400288</v>
      </c>
      <c r="Y17" s="593">
        <f t="shared" si="14"/>
        <v>110.90187809599712</v>
      </c>
      <c r="AA17" s="150">
        <f t="shared" si="15"/>
        <v>1000000000</v>
      </c>
      <c r="AB17" s="150">
        <f t="shared" si="16"/>
        <v>2.0891811599999999</v>
      </c>
      <c r="AD17" s="592">
        <f t="shared" si="17"/>
        <v>86.264729629808116</v>
      </c>
      <c r="AE17" s="593">
        <f t="shared" si="18"/>
        <v>-69.014566578073442</v>
      </c>
      <c r="AG17" s="592">
        <f t="shared" si="19"/>
        <v>27.047116781681389</v>
      </c>
      <c r="AH17" s="593">
        <f t="shared" si="20"/>
        <v>-8.1473950283441648E-2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5">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1.0000000005682739</v>
      </c>
      <c r="N18" s="585">
        <f t="shared" si="5"/>
        <v>-3.3712725238688899E-5</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87.210902330794454</v>
      </c>
      <c r="X18" s="590">
        <f t="shared" si="13"/>
        <v>-70.801018257106023</v>
      </c>
      <c r="Y18" s="593">
        <f t="shared" si="14"/>
        <v>109.19898174289398</v>
      </c>
      <c r="AA18" s="150">
        <f t="shared" si="15"/>
        <v>1000000000</v>
      </c>
      <c r="AB18" s="150">
        <f t="shared" si="16"/>
        <v>2.51190801</v>
      </c>
      <c r="AD18" s="592">
        <f t="shared" si="17"/>
        <v>85.558680355603357</v>
      </c>
      <c r="AE18" s="593">
        <f t="shared" si="18"/>
        <v>-70.709398760955509</v>
      </c>
      <c r="AG18" s="592">
        <f t="shared" si="19"/>
        <v>27.047115035186376</v>
      </c>
      <c r="AH18" s="593">
        <f t="shared" si="20"/>
        <v>-8.9337239367543161E-2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5">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1.000000000683209</v>
      </c>
      <c r="N19" s="585">
        <f t="shared" si="5"/>
        <v>-3.6965091750460293E-5</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86.490870400298391</v>
      </c>
      <c r="X19" s="590">
        <f t="shared" si="13"/>
        <v>-72.385194059113701</v>
      </c>
      <c r="Y19" s="593">
        <f t="shared" si="14"/>
        <v>107.6148059408863</v>
      </c>
      <c r="AA19" s="150">
        <f t="shared" si="15"/>
        <v>1000000000</v>
      </c>
      <c r="AB19" s="150">
        <f t="shared" si="16"/>
        <v>3.0199488400000001</v>
      </c>
      <c r="AD19" s="592">
        <f t="shared" si="17"/>
        <v>84.838650524535723</v>
      </c>
      <c r="AE19" s="593">
        <f t="shared" si="18"/>
        <v>-72.284735774211526</v>
      </c>
      <c r="AG19" s="592">
        <f t="shared" si="19"/>
        <v>27.047112936217744</v>
      </c>
      <c r="AH19" s="593">
        <f t="shared" si="20"/>
        <v>-9.7955851855105525E-2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5">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1.0000000008214325</v>
      </c>
      <c r="N20" s="585">
        <f t="shared" si="5"/>
        <v>-4.0532272024405216E-5</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85.758324257132955</v>
      </c>
      <c r="X20" s="590">
        <f t="shared" si="13"/>
        <v>-73.855494620745304</v>
      </c>
      <c r="Y20" s="593">
        <f t="shared" si="14"/>
        <v>106.1445053792547</v>
      </c>
      <c r="AA20" s="150">
        <f t="shared" si="15"/>
        <v>1000000000</v>
      </c>
      <c r="AB20" s="150">
        <f t="shared" si="16"/>
        <v>3.63093025</v>
      </c>
      <c r="AD20" s="592">
        <f t="shared" si="17"/>
        <v>84.106106906189126</v>
      </c>
      <c r="AE20" s="593">
        <f t="shared" si="18"/>
        <v>-73.745341999671879</v>
      </c>
      <c r="AG20" s="592">
        <f t="shared" si="19"/>
        <v>27.047110411951877</v>
      </c>
      <c r="AH20" s="593">
        <f t="shared" si="20"/>
        <v>-0.10740870118562382</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5">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1.000000000987542</v>
      </c>
      <c r="N21" s="585">
        <f t="shared" si="5"/>
        <v>-4.4441918620420857E-5</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85.015533606931299</v>
      </c>
      <c r="X21" s="590">
        <f t="shared" si="13"/>
        <v>-75.215628172973908</v>
      </c>
      <c r="Y21" s="593">
        <f t="shared" si="14"/>
        <v>104.78437182702609</v>
      </c>
      <c r="AA21" s="150">
        <f t="shared" si="15"/>
        <v>1000000000</v>
      </c>
      <c r="AB21" s="150">
        <f t="shared" si="16"/>
        <v>4.3651744900000002</v>
      </c>
      <c r="AD21" s="592">
        <f t="shared" si="17"/>
        <v>83.363319290175554</v>
      </c>
      <c r="AE21" s="593">
        <f t="shared" si="18"/>
        <v>-75.09485051982081</v>
      </c>
      <c r="AG21" s="592">
        <f t="shared" si="19"/>
        <v>27.04710737842835</v>
      </c>
      <c r="AH21" s="593">
        <f t="shared" si="20"/>
        <v>-0.11776906261824008</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5">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1.0000000011873158</v>
      </c>
      <c r="N22" s="585">
        <f t="shared" si="5"/>
        <v>-4.8730192578357614E-5</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84.263469937597307</v>
      </c>
      <c r="X22" s="590">
        <f t="shared" si="13"/>
        <v>-76.472069356041303</v>
      </c>
      <c r="Y22" s="593">
        <f t="shared" si="14"/>
        <v>103.5279306439587</v>
      </c>
      <c r="AA22" s="150">
        <f t="shared" si="15"/>
        <v>1000000000</v>
      </c>
      <c r="AB22" s="150">
        <f t="shared" si="16"/>
        <v>5.2482228100000006</v>
      </c>
      <c r="AD22" s="592">
        <f t="shared" si="17"/>
        <v>82.611259269944242</v>
      </c>
      <c r="AE22" s="593">
        <f t="shared" si="18"/>
        <v>-76.339637702831524</v>
      </c>
      <c r="AG22" s="592">
        <f t="shared" si="19"/>
        <v>27.047103730124896</v>
      </c>
      <c r="AH22" s="593">
        <f t="shared" si="20"/>
        <v>-0.12913275651079043</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5">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1.0000000014274426</v>
      </c>
      <c r="N23" s="585">
        <f t="shared" si="5"/>
        <v>-5.3431127817879982E-5</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83.50390495655688</v>
      </c>
      <c r="X23" s="590">
        <f t="shared" si="13"/>
        <v>-77.629925677463461</v>
      </c>
      <c r="Y23" s="593">
        <f t="shared" si="14"/>
        <v>102.37007432253654</v>
      </c>
      <c r="AA23" s="150">
        <f t="shared" si="15"/>
        <v>1000000000</v>
      </c>
      <c r="AB23" s="150">
        <f t="shared" si="16"/>
        <v>6.309641609999999</v>
      </c>
      <c r="AD23" s="592">
        <f t="shared" si="17"/>
        <v>81.851698675099385</v>
      </c>
      <c r="AE23" s="593">
        <f t="shared" si="18"/>
        <v>-77.484718570715032</v>
      </c>
      <c r="AG23" s="592">
        <f t="shared" si="19"/>
        <v>27.047099344890047</v>
      </c>
      <c r="AH23" s="593">
        <f t="shared" si="20"/>
        <v>-0.14158997043023211</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5">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1.0000000017161093</v>
      </c>
      <c r="N24" s="585">
        <f t="shared" si="5"/>
        <v>-5.8585139618489962E-5</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82.737897468924118</v>
      </c>
      <c r="X24" s="590">
        <f t="shared" si="13"/>
        <v>-78.695465984662007</v>
      </c>
      <c r="Y24" s="593">
        <f t="shared" si="14"/>
        <v>101.30453401533799</v>
      </c>
      <c r="AA24" s="150">
        <f t="shared" si="15"/>
        <v>1000000000</v>
      </c>
      <c r="AB24" s="150">
        <f t="shared" si="16"/>
        <v>7.5856176399999997</v>
      </c>
      <c r="AD24" s="592">
        <f t="shared" si="17"/>
        <v>81.085696460290237</v>
      </c>
      <c r="AE24" s="593">
        <f t="shared" si="18"/>
        <v>-78.536252140095698</v>
      </c>
      <c r="AG24" s="592">
        <f t="shared" si="19"/>
        <v>27.04709407322126</v>
      </c>
      <c r="AH24" s="593">
        <f t="shared" si="20"/>
        <v>-0.15524779675069469</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5">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1.0000000020633262</v>
      </c>
      <c r="N25" s="585">
        <f t="shared" si="5"/>
        <v>-6.4239024619448481E-5</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81.966041986807724</v>
      </c>
      <c r="X25" s="590">
        <f t="shared" si="13"/>
        <v>-79.675315797318405</v>
      </c>
      <c r="Y25" s="593">
        <f t="shared" si="14"/>
        <v>100.3246842026816</v>
      </c>
      <c r="AA25" s="150">
        <f t="shared" si="15"/>
        <v>1000000000</v>
      </c>
      <c r="AB25" s="150">
        <f t="shared" si="16"/>
        <v>9.1204000000000001</v>
      </c>
      <c r="AD25" s="592">
        <f t="shared" si="17"/>
        <v>80.31384732047627</v>
      </c>
      <c r="AE25" s="593">
        <f t="shared" si="18"/>
        <v>-79.500736760503372</v>
      </c>
      <c r="AG25" s="592">
        <f t="shared" si="19"/>
        <v>27.047087732307915</v>
      </c>
      <c r="AH25" s="593">
        <f t="shared" si="20"/>
        <v>-0.17023023772332277</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5">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1.0000000024805675</v>
      </c>
      <c r="N26" s="585">
        <f t="shared" si="5"/>
        <v>-7.0435325219606236E-5</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81.189939735904929</v>
      </c>
      <c r="X26" s="590">
        <f t="shared" si="13"/>
        <v>-80.574577891468891</v>
      </c>
      <c r="Y26" s="593">
        <f t="shared" si="14"/>
        <v>99.425422108531109</v>
      </c>
      <c r="AA26" s="150">
        <f t="shared" si="15"/>
        <v>1000000000</v>
      </c>
      <c r="AB26" s="150">
        <f t="shared" si="16"/>
        <v>10.964707690000001</v>
      </c>
      <c r="AD26" s="592">
        <f t="shared" si="17"/>
        <v>79.537752690939655</v>
      </c>
      <c r="AE26" s="593">
        <f t="shared" si="18"/>
        <v>-80.383159600869149</v>
      </c>
      <c r="AG26" s="592">
        <f t="shared" si="19"/>
        <v>27.047080112611024</v>
      </c>
      <c r="AH26" s="593">
        <f t="shared" si="20"/>
        <v>-0.18665001951238513</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5">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1.0000000029823501</v>
      </c>
      <c r="N27" s="585">
        <f t="shared" si="5"/>
        <v>-7.7231473657414553E-5</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80.40970553954503</v>
      </c>
      <c r="X27" s="590">
        <f t="shared" si="13"/>
        <v>-81.399871335359336</v>
      </c>
      <c r="Y27" s="593">
        <f t="shared" si="14"/>
        <v>98.600128664640664</v>
      </c>
      <c r="AA27" s="150">
        <f t="shared" si="15"/>
        <v>1000000000</v>
      </c>
      <c r="AB27" s="150">
        <f t="shared" si="16"/>
        <v>13.182708639999998</v>
      </c>
      <c r="AD27" s="592">
        <f t="shared" si="17"/>
        <v>78.757527660167895</v>
      </c>
      <c r="AE27" s="593">
        <f t="shared" si="18"/>
        <v>-81.189983660507977</v>
      </c>
      <c r="AG27" s="592">
        <f t="shared" si="19"/>
        <v>27.047070949030363</v>
      </c>
      <c r="AH27" s="593">
        <f t="shared" si="20"/>
        <v>-0.20465932313216589</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5">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1.0000000035855861</v>
      </c>
      <c r="N28" s="585">
        <f t="shared" si="5"/>
        <v>-8.4682775050645408E-5</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79.62626055651576</v>
      </c>
      <c r="X28" s="590">
        <f t="shared" si="13"/>
        <v>-82.156504586957624</v>
      </c>
      <c r="Y28" s="593">
        <f t="shared" si="14"/>
        <v>97.843495413042376</v>
      </c>
      <c r="AA28" s="150">
        <f t="shared" si="15"/>
        <v>1000000000</v>
      </c>
      <c r="AB28" s="150">
        <f t="shared" si="16"/>
        <v>15.849157210000001</v>
      </c>
      <c r="AD28" s="592">
        <f t="shared" si="17"/>
        <v>77.974093695850087</v>
      </c>
      <c r="AE28" s="593">
        <f t="shared" si="18"/>
        <v>-81.926367113398342</v>
      </c>
      <c r="AG28" s="592">
        <f t="shared" si="19"/>
        <v>27.047059932732218</v>
      </c>
      <c r="AH28" s="593">
        <f t="shared" si="20"/>
        <v>-0.22440468972801347</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5">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1.0000000043108437</v>
      </c>
      <c r="N29" s="585">
        <f t="shared" si="5"/>
        <v>-9.2853042996243786E-5</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78.840068617273104</v>
      </c>
      <c r="X29" s="590">
        <f t="shared" si="13"/>
        <v>-82.849928811175488</v>
      </c>
      <c r="Y29" s="593">
        <f t="shared" si="14"/>
        <v>97.150071188824512</v>
      </c>
      <c r="AA29" s="150">
        <f t="shared" si="15"/>
        <v>1000000000</v>
      </c>
      <c r="AB29" s="150">
        <f t="shared" si="16"/>
        <v>19.054971039999998</v>
      </c>
      <c r="AD29" s="592">
        <f t="shared" si="17"/>
        <v>77.187915004130488</v>
      </c>
      <c r="AE29" s="593">
        <f t="shared" si="18"/>
        <v>-82.597587721856797</v>
      </c>
      <c r="AG29" s="592">
        <f t="shared" si="19"/>
        <v>27.047046688110701</v>
      </c>
      <c r="AH29" s="593">
        <f t="shared" si="20"/>
        <v>-0.24605520189203914</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5">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1.0000000051826732</v>
      </c>
      <c r="N30" s="585">
        <f t="shared" si="5"/>
        <v>-1.0181034533002258E-4</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78.051686144588061</v>
      </c>
      <c r="X30" s="590">
        <f t="shared" si="13"/>
        <v>-83.485145175234223</v>
      </c>
      <c r="Y30" s="593">
        <f t="shared" si="14"/>
        <v>96.514854824765777</v>
      </c>
      <c r="AA30" s="150">
        <f t="shared" si="15"/>
        <v>1000000000</v>
      </c>
      <c r="AB30" s="150">
        <f t="shared" si="16"/>
        <v>22.908667689999998</v>
      </c>
      <c r="AD30" s="592">
        <f t="shared" si="17"/>
        <v>76.399548456189152</v>
      </c>
      <c r="AE30" s="593">
        <f t="shared" si="18"/>
        <v>-83.20846169488928</v>
      </c>
      <c r="AG30" s="592">
        <f t="shared" si="19"/>
        <v>27.047030766854899</v>
      </c>
      <c r="AH30" s="593">
        <f t="shared" si="20"/>
        <v>-0.26979120867599354</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5">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1.0000000062310064</v>
      </c>
      <c r="N31" s="585">
        <f t="shared" si="5"/>
        <v>-1.1163338548629789E-4</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77.26125773158887</v>
      </c>
      <c r="X31" s="590">
        <f t="shared" si="13"/>
        <v>-84.0671184605593</v>
      </c>
      <c r="Y31" s="593">
        <f t="shared" si="14"/>
        <v>95.9328815394407</v>
      </c>
      <c r="AA31" s="150">
        <f t="shared" si="15"/>
        <v>1000000000</v>
      </c>
      <c r="AB31" s="150">
        <f t="shared" si="16"/>
        <v>27.542553609999999</v>
      </c>
      <c r="AD31" s="592">
        <f t="shared" si="17"/>
        <v>75.60913919185532</v>
      </c>
      <c r="AE31" s="593">
        <f t="shared" si="18"/>
        <v>-83.763739961526781</v>
      </c>
      <c r="AG31" s="592">
        <f t="shared" si="19"/>
        <v>27.047011622383607</v>
      </c>
      <c r="AH31" s="593">
        <f t="shared" si="20"/>
        <v>-0.29582123489849199</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5">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1.0000000074912465</v>
      </c>
      <c r="N32" s="585">
        <f t="shared" si="5"/>
        <v>-1.2240299401738685E-4</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76.469309040267959</v>
      </c>
      <c r="X32" s="590">
        <f t="shared" si="13"/>
        <v>-84.600161533483316</v>
      </c>
      <c r="Y32" s="593">
        <f t="shared" si="14"/>
        <v>95.399838466516684</v>
      </c>
      <c r="AA32" s="150">
        <f t="shared" si="15"/>
        <v>1000000000</v>
      </c>
      <c r="AB32" s="150">
        <f t="shared" si="16"/>
        <v>33.113119360000006</v>
      </c>
      <c r="AD32" s="592">
        <f t="shared" si="17"/>
        <v>74.817213519741813</v>
      </c>
      <c r="AE32" s="593">
        <f t="shared" si="18"/>
        <v>-84.267515766203644</v>
      </c>
      <c r="AG32" s="592">
        <f t="shared" si="19"/>
        <v>27.046988608218037</v>
      </c>
      <c r="AH32" s="593">
        <f t="shared" si="20"/>
        <v>-0.32435943107183773</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5">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1.0000000090065331</v>
      </c>
      <c r="N33" s="585">
        <f t="shared" si="5"/>
        <v>-1.3421276419295139E-4</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75.675944553097892</v>
      </c>
      <c r="X33" s="590">
        <f t="shared" si="13"/>
        <v>-85.088551400098595</v>
      </c>
      <c r="Y33" s="593">
        <f t="shared" si="14"/>
        <v>94.911448599901405</v>
      </c>
      <c r="AA33" s="150">
        <f t="shared" si="15"/>
        <v>1000000000</v>
      </c>
      <c r="AB33" s="150">
        <f t="shared" si="16"/>
        <v>39.811052159999996</v>
      </c>
      <c r="AD33" s="592">
        <f t="shared" si="17"/>
        <v>74.023876710227967</v>
      </c>
      <c r="AE33" s="593">
        <f t="shared" si="18"/>
        <v>-84.723811823321199</v>
      </c>
      <c r="AG33" s="592">
        <f t="shared" si="19"/>
        <v>27.046960936624025</v>
      </c>
      <c r="AH33" s="593">
        <f t="shared" si="20"/>
        <v>-0.35565375235351054</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5">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1.0000000108281129</v>
      </c>
      <c r="N34" s="585">
        <f t="shared" si="5"/>
        <v>-1.4716054351916261E-4</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74.881545234187712</v>
      </c>
      <c r="X34" s="590">
        <f t="shared" si="13"/>
        <v>-85.536063699728615</v>
      </c>
      <c r="Y34" s="593">
        <f t="shared" si="14"/>
        <v>94.463936300271385</v>
      </c>
      <c r="AA34" s="150">
        <f t="shared" si="15"/>
        <v>1000000000</v>
      </c>
      <c r="AB34" s="150">
        <f t="shared" si="16"/>
        <v>47.862874890000008</v>
      </c>
      <c r="AD34" s="592">
        <f t="shared" si="17"/>
        <v>73.229510663376971</v>
      </c>
      <c r="AE34" s="593">
        <f t="shared" si="18"/>
        <v>-85.136137939283287</v>
      </c>
      <c r="AG34" s="592">
        <f t="shared" si="19"/>
        <v>27.046927671852409</v>
      </c>
      <c r="AH34" s="593">
        <f t="shared" si="20"/>
        <v>-0.38996340867669271</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5">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1.0000000130183748</v>
      </c>
      <c r="N35" s="585">
        <f t="shared" si="5"/>
        <v>-1.6135906933750001E-4</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74.086124171602421</v>
      </c>
      <c r="X35" s="590">
        <f t="shared" si="13"/>
        <v>-85.946386972894672</v>
      </c>
      <c r="Y35" s="593">
        <f t="shared" si="14"/>
        <v>94.053613027105328</v>
      </c>
      <c r="AA35" s="150">
        <f t="shared" si="15"/>
        <v>1000000000</v>
      </c>
      <c r="AB35" s="150">
        <f t="shared" si="16"/>
        <v>57.544361639999998</v>
      </c>
      <c r="AD35" s="592">
        <f t="shared" si="17"/>
        <v>72.434129606674944</v>
      </c>
      <c r="AE35" s="593">
        <f t="shared" si="18"/>
        <v>-85.507876381764149</v>
      </c>
      <c r="AG35" s="592">
        <f t="shared" si="19"/>
        <v>27.046887674731629</v>
      </c>
      <c r="AH35" s="593">
        <f t="shared" si="20"/>
        <v>-0.42758703927233477</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5">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1.0000000156512869</v>
      </c>
      <c r="N36" s="585">
        <f t="shared" si="5"/>
        <v>-1.7692533322336476E-4</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73.290030449021785</v>
      </c>
      <c r="X36" s="590">
        <f t="shared" si="13"/>
        <v>-86.32274685506485</v>
      </c>
      <c r="Y36" s="593">
        <f t="shared" si="14"/>
        <v>93.67725314493515</v>
      </c>
      <c r="AA36" s="150">
        <f t="shared" si="15"/>
        <v>1000000000</v>
      </c>
      <c r="AB36" s="150">
        <f t="shared" si="16"/>
        <v>69.182469760000004</v>
      </c>
      <c r="AD36" s="592">
        <f t="shared" si="17"/>
        <v>71.638083974649163</v>
      </c>
      <c r="AE36" s="593">
        <f t="shared" si="18"/>
        <v>-85.841934986832243</v>
      </c>
      <c r="AG36" s="592">
        <f t="shared" si="19"/>
        <v>27.04683959471021</v>
      </c>
      <c r="AH36" s="593">
        <f t="shared" si="20"/>
        <v>-0.46883452422103256</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5">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1.0000000188171216</v>
      </c>
      <c r="N37" s="585">
        <f t="shared" si="5"/>
        <v>-1.9399547082389924E-4</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72.493188160429099</v>
      </c>
      <c r="X37" s="590">
        <f t="shared" si="13"/>
        <v>-86.668315755953316</v>
      </c>
      <c r="Y37" s="593">
        <f t="shared" si="14"/>
        <v>93.331684244046684</v>
      </c>
      <c r="AA37" s="150">
        <f t="shared" si="15"/>
        <v>1000000000</v>
      </c>
      <c r="AB37" s="150">
        <f t="shared" si="16"/>
        <v>83.176224010000013</v>
      </c>
      <c r="AD37" s="592">
        <f t="shared" si="17"/>
        <v>70.841299509818498</v>
      </c>
      <c r="AE37" s="593">
        <f t="shared" si="18"/>
        <v>-86.141116384414218</v>
      </c>
      <c r="AG37" s="592">
        <f t="shared" si="19"/>
        <v>27.04678178361371</v>
      </c>
      <c r="AH37" s="593">
        <f t="shared" si="20"/>
        <v>-0.51406642760951038</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5">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1.0000000226231978</v>
      </c>
      <c r="N38" s="585">
        <f t="shared" si="5"/>
        <v>-2.1271199913559962E-4</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71.695825840659367</v>
      </c>
      <c r="X38" s="590">
        <f t="shared" si="13"/>
        <v>-86.98587874212987</v>
      </c>
      <c r="Y38" s="593">
        <f t="shared" si="14"/>
        <v>93.01412125787013</v>
      </c>
      <c r="AA38" s="150">
        <f t="shared" si="15"/>
        <v>1000000000</v>
      </c>
      <c r="AB38" s="150">
        <f t="shared" si="16"/>
        <v>100</v>
      </c>
      <c r="AD38" s="592">
        <f t="shared" si="17"/>
        <v>70.044006706758111</v>
      </c>
      <c r="AE38" s="593">
        <f t="shared" si="18"/>
        <v>-86.4078185777893</v>
      </c>
      <c r="AG38" s="592">
        <f t="shared" si="19"/>
        <v>27.046712282131292</v>
      </c>
      <c r="AH38" s="593">
        <f t="shared" si="20"/>
        <v>-0.56366016423759124</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5">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1.0000000272001477</v>
      </c>
      <c r="N39" s="585">
        <f t="shared" si="5"/>
        <v>-2.3323870634050375E-4</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70.897844989301888</v>
      </c>
      <c r="X39" s="590">
        <f t="shared" si="13"/>
        <v>-87.278130376626848</v>
      </c>
      <c r="Y39" s="593">
        <f t="shared" si="14"/>
        <v>92.721869623373152</v>
      </c>
      <c r="AA39" s="150">
        <f t="shared" si="15"/>
        <v>1000000000</v>
      </c>
      <c r="AB39" s="150">
        <f t="shared" si="16"/>
        <v>120.23122499999999</v>
      </c>
      <c r="AD39" s="592">
        <f t="shared" si="17"/>
        <v>69.246109450390207</v>
      </c>
      <c r="AE39" s="593">
        <f t="shared" si="18"/>
        <v>-86.644291340770508</v>
      </c>
      <c r="AG39" s="592">
        <f t="shared" si="19"/>
        <v>27.046628705452665</v>
      </c>
      <c r="AH39" s="593">
        <f t="shared" si="20"/>
        <v>-0.61804943615346419</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5">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1.0000000327024043</v>
      </c>
      <c r="N40" s="585">
        <f t="shared" si="5"/>
        <v>-2.5574363484226953E-4</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70.099572030421797</v>
      </c>
      <c r="X40" s="590">
        <f t="shared" si="13"/>
        <v>-87.547402915798656</v>
      </c>
      <c r="Y40" s="593">
        <f t="shared" si="14"/>
        <v>92.452597084201344</v>
      </c>
      <c r="AA40" s="150">
        <f t="shared" si="15"/>
        <v>1000000000</v>
      </c>
      <c r="AB40" s="150">
        <f t="shared" si="16"/>
        <v>144.55252899999999</v>
      </c>
      <c r="AD40" s="592">
        <f t="shared" si="17"/>
        <v>68.447936984487342</v>
      </c>
      <c r="AE40" s="593">
        <f t="shared" si="18"/>
        <v>-86.852410679677504</v>
      </c>
      <c r="AG40" s="592">
        <f t="shared" si="19"/>
        <v>27.046528234488264</v>
      </c>
      <c r="AH40" s="593">
        <f t="shared" si="20"/>
        <v>-0.67767911605033149</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5">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1.0000000393171919</v>
      </c>
      <c r="N41" s="585">
        <f t="shared" si="5"/>
        <v>-2.8041822533959426E-4</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69.301035964277034</v>
      </c>
      <c r="X41" s="590">
        <f t="shared" si="13"/>
        <v>-87.795959281318659</v>
      </c>
      <c r="Y41" s="593">
        <f t="shared" si="14"/>
        <v>92.204040718681341</v>
      </c>
      <c r="AA41" s="150">
        <f t="shared" si="15"/>
        <v>1000000000</v>
      </c>
      <c r="AB41" s="150">
        <f t="shared" si="16"/>
        <v>173.79148899999998</v>
      </c>
      <c r="AD41" s="592">
        <f t="shared" si="17"/>
        <v>67.649521727458051</v>
      </c>
      <c r="AE41" s="593">
        <f t="shared" si="18"/>
        <v>-87.033919818342724</v>
      </c>
      <c r="AG41" s="592">
        <f t="shared" si="19"/>
        <v>27.046407451836473</v>
      </c>
      <c r="AH41" s="593">
        <f t="shared" si="20"/>
        <v>-0.74305594325518176</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5">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1.0000000472639579</v>
      </c>
      <c r="N42" s="585">
        <f t="shared" si="5"/>
        <v>-3.0745391849999694E-4</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68.502782648851408</v>
      </c>
      <c r="X42" s="590">
        <f t="shared" si="13"/>
        <v>-88.025745783736667</v>
      </c>
      <c r="Y42" s="593">
        <f t="shared" si="14"/>
        <v>91.974254216263333</v>
      </c>
      <c r="AA42" s="150">
        <f t="shared" si="15"/>
        <v>1000000000</v>
      </c>
      <c r="AB42" s="150">
        <f t="shared" si="16"/>
        <v>208.91811600000003</v>
      </c>
      <c r="AD42" s="592">
        <f t="shared" si="17"/>
        <v>66.851413543279079</v>
      </c>
      <c r="AE42" s="593">
        <f t="shared" si="18"/>
        <v>-87.190245540481655</v>
      </c>
      <c r="AG42" s="592">
        <f t="shared" si="19"/>
        <v>27.046262352382339</v>
      </c>
      <c r="AH42" s="593">
        <f t="shared" si="20"/>
        <v>-0.81468648358754314</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5">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1.0000000568273906</v>
      </c>
      <c r="N43" s="585">
        <f t="shared" si="5"/>
        <v>-3.3712723974256857E-4</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67.703502984447297</v>
      </c>
      <c r="X43" s="590">
        <f t="shared" si="13"/>
        <v>-88.239071035611161</v>
      </c>
      <c r="Y43" s="593">
        <f t="shared" si="14"/>
        <v>91.760928964388839</v>
      </c>
      <c r="AA43" s="150">
        <f t="shared" si="15"/>
        <v>1000000000</v>
      </c>
      <c r="AB43" s="150">
        <f t="shared" si="16"/>
        <v>251.19080099999999</v>
      </c>
      <c r="AD43" s="592">
        <f t="shared" si="17"/>
        <v>66.052308528762111</v>
      </c>
      <c r="AE43" s="593">
        <f t="shared" si="18"/>
        <v>-87.322945973846316</v>
      </c>
      <c r="AG43" s="592">
        <f t="shared" si="19"/>
        <v>27.046087740755475</v>
      </c>
      <c r="AH43" s="593">
        <f t="shared" si="20"/>
        <v>-0.89330250175306847</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5">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1.0000000683208981</v>
      </c>
      <c r="N44" s="585">
        <f t="shared" si="5"/>
        <v>-3.6965090083638114E-4</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66.904347213894141</v>
      </c>
      <c r="X44" s="590">
        <f t="shared" si="13"/>
        <v>-88.437413964276487</v>
      </c>
      <c r="Y44" s="593">
        <f t="shared" si="14"/>
        <v>91.562586035723513</v>
      </c>
      <c r="AA44" s="150">
        <f t="shared" si="15"/>
        <v>1000000000</v>
      </c>
      <c r="AB44" s="150">
        <f t="shared" si="16"/>
        <v>301.99488400000001</v>
      </c>
      <c r="AD44" s="592">
        <f t="shared" si="17"/>
        <v>65.253362646326167</v>
      </c>
      <c r="AE44" s="593">
        <f t="shared" si="18"/>
        <v>-87.432923257294249</v>
      </c>
      <c r="AG44" s="592">
        <f t="shared" si="19"/>
        <v>27.045877898620155</v>
      </c>
      <c r="AH44" s="593">
        <f t="shared" si="20"/>
        <v>-0.9794663873268562</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5">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1.0000000821432504</v>
      </c>
      <c r="N45" s="585">
        <f t="shared" si="5"/>
        <v>-4.0532269826966643E-4</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66.104800743581833</v>
      </c>
      <c r="X45" s="590">
        <f t="shared" si="13"/>
        <v>-88.622582168662007</v>
      </c>
      <c r="Y45" s="593">
        <f t="shared" si="14"/>
        <v>91.377417831337993</v>
      </c>
      <c r="AA45" s="150">
        <f t="shared" si="15"/>
        <v>1000000000</v>
      </c>
      <c r="AB45" s="150">
        <f t="shared" si="16"/>
        <v>363.09302500000001</v>
      </c>
      <c r="AD45" s="592">
        <f t="shared" si="17"/>
        <v>64.454068578774027</v>
      </c>
      <c r="AE45" s="593">
        <f t="shared" si="18"/>
        <v>-87.521177420581751</v>
      </c>
      <c r="AG45" s="592">
        <f t="shared" si="19"/>
        <v>27.045625551158906</v>
      </c>
      <c r="AH45" s="593">
        <f t="shared" si="20"/>
        <v>-1.0739655482261441</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5">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1.0000000987542019</v>
      </c>
      <c r="N46" s="585">
        <f t="shared" si="5"/>
        <v>-4.4441915723795761E-4</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65.305455585928385</v>
      </c>
      <c r="X46" s="590">
        <f t="shared" si="13"/>
        <v>-88.796006603961445</v>
      </c>
      <c r="Y46" s="593">
        <f t="shared" si="14"/>
        <v>91.203993396038555</v>
      </c>
      <c r="AA46" s="150">
        <f t="shared" si="15"/>
        <v>1000000000</v>
      </c>
      <c r="AB46" s="150">
        <f t="shared" si="16"/>
        <v>436.51744900000006</v>
      </c>
      <c r="AD46" s="592">
        <f t="shared" si="17"/>
        <v>63.655026725615052</v>
      </c>
      <c r="AE46" s="593">
        <f t="shared" si="18"/>
        <v>-87.588390169028273</v>
      </c>
      <c r="AG46" s="592">
        <f t="shared" si="19"/>
        <v>27.045322313119605</v>
      </c>
      <c r="AH46" s="593">
        <f t="shared" si="20"/>
        <v>-1.177530515152996</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5">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1.0000001187315766</v>
      </c>
      <c r="N47" s="585">
        <f t="shared" si="5"/>
        <v>-4.8730188759721625E-4</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64.505713125147594</v>
      </c>
      <c r="X47" s="590">
        <f t="shared" si="13"/>
        <v>-88.959286074870036</v>
      </c>
      <c r="Y47" s="593">
        <f t="shared" si="14"/>
        <v>91.040713925129964</v>
      </c>
      <c r="AA47" s="150">
        <f t="shared" si="15"/>
        <v>1000000000</v>
      </c>
      <c r="AB47" s="150">
        <f t="shared" si="16"/>
        <v>524.82228100000009</v>
      </c>
      <c r="AD47" s="592">
        <f t="shared" si="17"/>
        <v>62.855649009827623</v>
      </c>
      <c r="AE47" s="593">
        <f t="shared" si="18"/>
        <v>-87.635180601415982</v>
      </c>
      <c r="AG47" s="592">
        <f t="shared" si="19"/>
        <v>27.044957648049461</v>
      </c>
      <c r="AH47" s="593">
        <f t="shared" si="20"/>
        <v>-1.2911165138469369</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5">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1.0000001427442611</v>
      </c>
      <c r="N48" s="585">
        <f t="shared" si="5"/>
        <v>-5.3431122784069172E-4</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63.706037319728054</v>
      </c>
      <c r="X48" s="590">
        <f t="shared" si="13"/>
        <v>-89.113704715696926</v>
      </c>
      <c r="Y48" s="593">
        <f t="shared" si="14"/>
        <v>90.886295284303074</v>
      </c>
      <c r="AA48" s="150">
        <f t="shared" si="15"/>
        <v>1000000000</v>
      </c>
      <c r="AB48" s="150">
        <f t="shared" si="16"/>
        <v>630.96416099999999</v>
      </c>
      <c r="AD48" s="592">
        <f t="shared" si="17"/>
        <v>62.056411585143152</v>
      </c>
      <c r="AE48" s="593">
        <f t="shared" si="18"/>
        <v>-87.661911850459774</v>
      </c>
      <c r="AG48" s="592">
        <f t="shared" si="19"/>
        <v>27.044519363381603</v>
      </c>
      <c r="AH48" s="593">
        <f t="shared" si="20"/>
        <v>-1.4156215059284296</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5">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1.0000001716109148</v>
      </c>
      <c r="N49" s="585">
        <f t="shared" si="5"/>
        <v>-5.8585132982950157E-4</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62.906316133851277</v>
      </c>
      <c r="X49" s="590">
        <f t="shared" si="13"/>
        <v>-89.260593469630223</v>
      </c>
      <c r="Y49" s="593">
        <f t="shared" si="14"/>
        <v>90.739406530369777</v>
      </c>
      <c r="AA49" s="150">
        <f t="shared" si="15"/>
        <v>1000000000</v>
      </c>
      <c r="AB49" s="150">
        <f t="shared" si="16"/>
        <v>758.56176400000004</v>
      </c>
      <c r="AD49" s="592">
        <f t="shared" si="17"/>
        <v>61.257217336515055</v>
      </c>
      <c r="AE49" s="593">
        <f t="shared" si="18"/>
        <v>-87.668821718458716</v>
      </c>
      <c r="AG49" s="592">
        <f t="shared" si="19"/>
        <v>27.04399254161936</v>
      </c>
      <c r="AH49" s="593">
        <f t="shared" si="20"/>
        <v>-1.5521112718995418</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5">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1.0000002063325935</v>
      </c>
      <c r="N50" s="585">
        <f t="shared" si="5"/>
        <v>-6.4239015871410735E-4</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62.106125868840493</v>
      </c>
      <c r="X50" s="590">
        <f t="shared" si="13"/>
        <v>-89.401267684556444</v>
      </c>
      <c r="Y50" s="593">
        <f t="shared" si="14"/>
        <v>90.598732315443556</v>
      </c>
      <c r="AA50" s="150">
        <f t="shared" si="15"/>
        <v>1000000000</v>
      </c>
      <c r="AB50" s="150">
        <f t="shared" si="16"/>
        <v>912.04</v>
      </c>
      <c r="AD50" s="592">
        <f t="shared" si="17"/>
        <v>60.457660802729819</v>
      </c>
      <c r="AE50" s="593">
        <f t="shared" si="18"/>
        <v>-87.655960706108488</v>
      </c>
      <c r="AG50" s="592">
        <f t="shared" si="19"/>
        <v>27.043358949304341</v>
      </c>
      <c r="AH50" s="593">
        <f t="shared" si="20"/>
        <v>-1.701818979436009</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5">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1.0000002480567221</v>
      </c>
      <c r="N51" s="585">
        <f t="shared" si="5"/>
        <v>-7.0435313688117351E-4</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61.306232322235985</v>
      </c>
      <c r="X51" s="590">
        <f t="shared" si="13"/>
        <v>-89.53678006994194</v>
      </c>
      <c r="Y51" s="593">
        <f t="shared" si="14"/>
        <v>90.46321993005806</v>
      </c>
      <c r="AA51" s="150">
        <f t="shared" si="15"/>
        <v>1000000000</v>
      </c>
      <c r="AB51" s="150">
        <f t="shared" si="16"/>
        <v>1096.470769</v>
      </c>
      <c r="AD51" s="592">
        <f t="shared" si="17"/>
        <v>59.658528671910112</v>
      </c>
      <c r="AE51" s="593">
        <f t="shared" si="18"/>
        <v>-87.623234292360593</v>
      </c>
      <c r="AG51" s="592">
        <f t="shared" si="19"/>
        <v>27.042597700444695</v>
      </c>
      <c r="AH51" s="593">
        <f t="shared" si="20"/>
        <v>-1.8658630589381309</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5">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1.0000002982349829</v>
      </c>
      <c r="N52" s="585">
        <f t="shared" si="5"/>
        <v>-7.7231458455553784E-4</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60.505991523082365</v>
      </c>
      <c r="X52" s="590">
        <f t="shared" si="13"/>
        <v>-89.668383936337236</v>
      </c>
      <c r="Y52" s="593">
        <f t="shared" si="14"/>
        <v>90.331616063662764</v>
      </c>
      <c r="AA52" s="150">
        <f t="shared" si="15"/>
        <v>1000000000</v>
      </c>
      <c r="AB52" s="150">
        <f t="shared" si="16"/>
        <v>1318.2708640000001</v>
      </c>
      <c r="AD52" s="592">
        <f t="shared" si="17"/>
        <v>58.859203389556704</v>
      </c>
      <c r="AE52" s="593">
        <f t="shared" si="18"/>
        <v>-87.570347005947099</v>
      </c>
      <c r="AG52" s="592">
        <f t="shared" si="19"/>
        <v>27.041682384391951</v>
      </c>
      <c r="AH52" s="593">
        <f t="shared" si="20"/>
        <v>-2.0457534121844292</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5">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1.0000003585585568</v>
      </c>
      <c r="N53" s="585">
        <f t="shared" si="5"/>
        <v>-8.4682755010586275E-4</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59.705702939677245</v>
      </c>
      <c r="X53" s="590">
        <f t="shared" si="13"/>
        <v>-89.7971359179286</v>
      </c>
      <c r="Y53" s="593">
        <f t="shared" si="14"/>
        <v>90.2028640820714</v>
      </c>
      <c r="AA53" s="150">
        <f t="shared" si="15"/>
        <v>1000000000</v>
      </c>
      <c r="AB53" s="150">
        <f t="shared" si="16"/>
        <v>1584.9157210000001</v>
      </c>
      <c r="AD53" s="592">
        <f t="shared" si="17"/>
        <v>58.060015171570811</v>
      </c>
      <c r="AE53" s="593">
        <f t="shared" si="18"/>
        <v>-87.496868114937143</v>
      </c>
      <c r="AG53" s="592">
        <f t="shared" si="19"/>
        <v>27.040582260308426</v>
      </c>
      <c r="AH53" s="593">
        <f t="shared" si="20"/>
        <v>-2.242939965272273</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5">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1.0000004310842894</v>
      </c>
      <c r="N54" s="585">
        <f t="shared" si="5"/>
        <v>-9.2853016578109719E-4</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58.905290596867196</v>
      </c>
      <c r="X54" s="590">
        <f t="shared" si="13"/>
        <v>-89.924129116279929</v>
      </c>
      <c r="Y54" s="593">
        <f t="shared" si="14"/>
        <v>90.075870883720071</v>
      </c>
      <c r="AA54" s="150">
        <f t="shared" si="15"/>
        <v>1000000000</v>
      </c>
      <c r="AB54" s="150">
        <f t="shared" si="16"/>
        <v>1905.497104</v>
      </c>
      <c r="AD54" s="592">
        <f t="shared" si="17"/>
        <v>57.260925405205711</v>
      </c>
      <c r="AE54" s="593">
        <f t="shared" si="18"/>
        <v>-87.402177183976434</v>
      </c>
      <c r="AG54" s="592">
        <f t="shared" si="19"/>
        <v>27.039259974016229</v>
      </c>
      <c r="AH54" s="593">
        <f t="shared" si="20"/>
        <v>-2.459093055393875</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5">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1.0000005182671901</v>
      </c>
      <c r="N55" s="585">
        <f t="shared" si="5"/>
        <v>-1.0181031050516065E-3</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58.104853211991276</v>
      </c>
      <c r="X55" s="590">
        <f t="shared" si="13"/>
        <v>-90.050410097286004</v>
      </c>
      <c r="Y55" s="593">
        <f t="shared" si="14"/>
        <v>89.949589902713996</v>
      </c>
      <c r="AA55" s="150">
        <f t="shared" si="15"/>
        <v>1000000000</v>
      </c>
      <c r="AB55" s="150">
        <f t="shared" si="16"/>
        <v>2290.8667689999997</v>
      </c>
      <c r="AD55" s="592">
        <f t="shared" si="17"/>
        <v>56.462077351160076</v>
      </c>
      <c r="AE55" s="593">
        <f t="shared" si="18"/>
        <v>-87.285498097990541</v>
      </c>
      <c r="AG55" s="592">
        <f t="shared" si="19"/>
        <v>27.037670991977446</v>
      </c>
      <c r="AH55" s="593">
        <f t="shared" si="20"/>
        <v>-2.6959892833412007</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5">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1.0000006231004488</v>
      </c>
      <c r="N56" s="585">
        <f t="shared" si="5"/>
        <v>-1.1163333957750175E-3</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57.304138950328621</v>
      </c>
      <c r="X56" s="590">
        <f t="shared" si="13"/>
        <v>-90.1770701529381</v>
      </c>
      <c r="Y56" s="593">
        <f t="shared" si="14"/>
        <v>89.8229298470619</v>
      </c>
      <c r="AA56" s="150">
        <f t="shared" si="15"/>
        <v>1000000000</v>
      </c>
      <c r="AB56" s="150">
        <f t="shared" si="16"/>
        <v>2754.255361</v>
      </c>
      <c r="AD56" s="592">
        <f t="shared" si="17"/>
        <v>55.663273413392858</v>
      </c>
      <c r="AE56" s="593">
        <f t="shared" si="18"/>
        <v>-87.14581927718362</v>
      </c>
      <c r="AG56" s="592">
        <f t="shared" si="19"/>
        <v>27.035761087487039</v>
      </c>
      <c r="AH56" s="593">
        <f t="shared" si="20"/>
        <v>-2.9556782411484654</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5">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1.0000007491243741</v>
      </c>
      <c r="N57" s="585">
        <f t="shared" si="5"/>
        <v>-1.2240293349867508E-3</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56.503338579653565</v>
      </c>
      <c r="X57" s="590">
        <f t="shared" si="13"/>
        <v>-90.305127607257631</v>
      </c>
      <c r="Y57" s="593">
        <f t="shared" si="14"/>
        <v>89.694872392742369</v>
      </c>
      <c r="AA57" s="150">
        <f t="shared" si="15"/>
        <v>1000000000</v>
      </c>
      <c r="AB57" s="150">
        <f t="shared" si="16"/>
        <v>3311.3119360000005</v>
      </c>
      <c r="AD57" s="592">
        <f t="shared" si="17"/>
        <v>54.864768401267618</v>
      </c>
      <c r="AE57" s="593">
        <f t="shared" si="18"/>
        <v>-86.982009430082726</v>
      </c>
      <c r="AG57" s="592">
        <f t="shared" si="19"/>
        <v>27.033466233119473</v>
      </c>
      <c r="AH57" s="593">
        <f t="shared" si="20"/>
        <v>-3.2402548242044742</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5">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1.0000009006529089</v>
      </c>
      <c r="N58" s="585">
        <f t="shared" si="5"/>
        <v>-1.3421268441278519E-3</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55.70226223553508</v>
      </c>
      <c r="X58" s="590">
        <f t="shared" si="13"/>
        <v>-90.43566544842767</v>
      </c>
      <c r="Y58" s="593">
        <f t="shared" si="14"/>
        <v>89.56433455157233</v>
      </c>
      <c r="AA58" s="150">
        <f t="shared" si="15"/>
        <v>1000000000</v>
      </c>
      <c r="AB58" s="150">
        <f t="shared" si="16"/>
        <v>3981.1052159999995</v>
      </c>
      <c r="AD58" s="592">
        <f t="shared" si="17"/>
        <v>54.066450342202124</v>
      </c>
      <c r="AE58" s="593">
        <f t="shared" si="18"/>
        <v>-86.792670352481139</v>
      </c>
      <c r="AG58" s="592">
        <f t="shared" si="19"/>
        <v>27.030708554284807</v>
      </c>
      <c r="AH58" s="593">
        <f t="shared" si="20"/>
        <v>-3.5521368652801177</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5">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1.0000010828107078</v>
      </c>
      <c r="N59" s="585">
        <f t="shared" si="5"/>
        <v>-1.4716043835021481E-3</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54.901036406882483</v>
      </c>
      <c r="X59" s="590">
        <f t="shared" si="13"/>
        <v>-90.569726049699796</v>
      </c>
      <c r="Y59" s="593">
        <f t="shared" si="14"/>
        <v>89.430273950300204</v>
      </c>
      <c r="AA59" s="150">
        <f t="shared" si="15"/>
        <v>1000000000</v>
      </c>
      <c r="AB59" s="150">
        <f t="shared" si="16"/>
        <v>4786.2874890000012</v>
      </c>
      <c r="AD59" s="592">
        <f t="shared" si="17"/>
        <v>53.26853802708095</v>
      </c>
      <c r="AE59" s="593">
        <f t="shared" si="18"/>
        <v>-86.576266874400673</v>
      </c>
      <c r="AG59" s="592">
        <f t="shared" si="19"/>
        <v>27.027395769509909</v>
      </c>
      <c r="AH59" s="593">
        <f t="shared" si="20"/>
        <v>-3.893835667570491</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5">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1.000001301836638</v>
      </c>
      <c r="N60" s="585">
        <f t="shared" si="5"/>
        <v>-1.613589306959494E-3</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54.099445289858593</v>
      </c>
      <c r="X60" s="590">
        <f t="shared" si="13"/>
        <v>-90.708425105563535</v>
      </c>
      <c r="Y60" s="593">
        <f t="shared" si="14"/>
        <v>89.291574894436465</v>
      </c>
      <c r="AA60" s="150">
        <f t="shared" si="15"/>
        <v>1000000000</v>
      </c>
      <c r="AB60" s="150">
        <f t="shared" si="16"/>
        <v>5754.4361640000006</v>
      </c>
      <c r="AD60" s="592">
        <f t="shared" si="17"/>
        <v>52.470927721524362</v>
      </c>
      <c r="AE60" s="593">
        <f t="shared" si="18"/>
        <v>-86.330958868806533</v>
      </c>
      <c r="AG60" s="592">
        <f t="shared" si="19"/>
        <v>27.023415834297197</v>
      </c>
      <c r="AH60" s="593">
        <f t="shared" si="20"/>
        <v>-4.2682307329411415</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5">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1.0000015651274847</v>
      </c>
      <c r="N61" s="585">
        <f t="shared" si="5"/>
        <v>-1.7692515046250335E-3</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53.297633617050238</v>
      </c>
      <c r="X61" s="590">
        <f t="shared" si="13"/>
        <v>-90.852838170888134</v>
      </c>
      <c r="Y61" s="593">
        <f t="shared" si="14"/>
        <v>89.147161829111866</v>
      </c>
      <c r="AA61" s="150">
        <f t="shared" si="15"/>
        <v>1000000000</v>
      </c>
      <c r="AB61" s="150">
        <f t="shared" si="16"/>
        <v>6918.2469760000004</v>
      </c>
      <c r="AD61" s="592">
        <f t="shared" si="17"/>
        <v>51.673896551183994</v>
      </c>
      <c r="AE61" s="593">
        <f t="shared" si="18"/>
        <v>-86.05478358335489</v>
      </c>
      <c r="AG61" s="592">
        <f t="shared" si="19"/>
        <v>27.018636385174062</v>
      </c>
      <c r="AH61" s="593">
        <f t="shared" si="20"/>
        <v>-4.6782811689085886</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5">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1.0000018817104117</v>
      </c>
      <c r="N62" s="585">
        <f t="shared" si="5"/>
        <v>-1.939952298956428E-3</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52.495333223169652</v>
      </c>
      <c r="X62" s="590">
        <f t="shared" si="13"/>
        <v>-91.004139731490909</v>
      </c>
      <c r="Y62" s="593">
        <f t="shared" si="14"/>
        <v>88.995860268509091</v>
      </c>
      <c r="AA62" s="150">
        <f t="shared" si="15"/>
        <v>1000000000</v>
      </c>
      <c r="AB62" s="150">
        <f t="shared" si="16"/>
        <v>8317.6224010000005</v>
      </c>
      <c r="AD62" s="592">
        <f t="shared" si="17"/>
        <v>50.877337307671063</v>
      </c>
      <c r="AE62" s="593">
        <f t="shared" si="18"/>
        <v>-85.745402578761258</v>
      </c>
      <c r="AG62" s="592">
        <f t="shared" si="19"/>
        <v>27.012896501356423</v>
      </c>
      <c r="AH62" s="593">
        <f t="shared" si="20"/>
        <v>-5.1274077409210985</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5">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1.000002262317238</v>
      </c>
      <c r="N63" s="585">
        <f t="shared" si="5"/>
        <v>-2.1271168152957164E-3</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51.692591836466669</v>
      </c>
      <c r="X63" s="590">
        <f t="shared" si="13"/>
        <v>-91.163475930091877</v>
      </c>
      <c r="Y63" s="593">
        <f t="shared" si="14"/>
        <v>88.836524069908123</v>
      </c>
      <c r="AA63" s="150">
        <f t="shared" si="15"/>
        <v>1000000000</v>
      </c>
      <c r="AB63" s="150">
        <f t="shared" si="16"/>
        <v>10000</v>
      </c>
      <c r="AD63" s="592">
        <f t="shared" si="17"/>
        <v>50.081488091419232</v>
      </c>
      <c r="AE63" s="593">
        <f t="shared" si="18"/>
        <v>-85.400333058717848</v>
      </c>
      <c r="AG63" s="592">
        <f t="shared" si="19"/>
        <v>27.006005853595333</v>
      </c>
      <c r="AH63" s="593">
        <f t="shared" si="20"/>
        <v>-5.6191429085242026</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5">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1.0000027200111061</v>
      </c>
      <c r="N64" s="585">
        <f t="shared" si="5"/>
        <v>-2.3323828762947178E-3</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50.889131435023643</v>
      </c>
      <c r="X64" s="590">
        <f t="shared" si="13"/>
        <v>-91.332087311575151</v>
      </c>
      <c r="Y64" s="593">
        <f t="shared" si="14"/>
        <v>88.667912688424849</v>
      </c>
      <c r="AA64" s="150">
        <f t="shared" si="15"/>
        <v>1000000000</v>
      </c>
      <c r="AB64" s="150">
        <f t="shared" si="16"/>
        <v>12023.122500000001</v>
      </c>
      <c r="AD64" s="592">
        <f t="shared" si="17"/>
        <v>49.286301315149302</v>
      </c>
      <c r="AE64" s="593">
        <f t="shared" si="18"/>
        <v>-85.0166868524893</v>
      </c>
      <c r="AG64" s="592">
        <f t="shared" si="19"/>
        <v>26.997734059514254</v>
      </c>
      <c r="AH64" s="593">
        <f t="shared" si="20"/>
        <v>-6.15750450802875</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5">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1.0000032702351336</v>
      </c>
      <c r="N65" s="585">
        <f t="shared" si="5"/>
        <v>-2.5574308285794163E-3</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50.085099937641374</v>
      </c>
      <c r="X65" s="590">
        <f t="shared" si="13"/>
        <v>-91.511154228948214</v>
      </c>
      <c r="Y65" s="593">
        <f t="shared" si="14"/>
        <v>88.488845771051786</v>
      </c>
      <c r="AA65" s="150">
        <f t="shared" si="15"/>
        <v>1000000000</v>
      </c>
      <c r="AB65" s="150">
        <f t="shared" si="16"/>
        <v>14455.252900000001</v>
      </c>
      <c r="AD65" s="592">
        <f t="shared" si="17"/>
        <v>48.492195259891808</v>
      </c>
      <c r="AE65" s="593">
        <f t="shared" si="18"/>
        <v>-84.591497287731997</v>
      </c>
      <c r="AG65" s="592">
        <f t="shared" si="19"/>
        <v>26.987810818666684</v>
      </c>
      <c r="AH65" s="593">
        <f t="shared" si="20"/>
        <v>-6.7465258057632651</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5">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1.0000039317115321</v>
      </c>
      <c r="N66" s="585">
        <f t="shared" si="5"/>
        <v>-2.8041749767605578E-3</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49.280338727499647</v>
      </c>
      <c r="X66" s="590">
        <f t="shared" si="13"/>
        <v>-91.701941101309302</v>
      </c>
      <c r="Y66" s="593">
        <f t="shared" si="14"/>
        <v>88.298058898690698</v>
      </c>
      <c r="AA66" s="150">
        <f t="shared" si="15"/>
        <v>1000000000</v>
      </c>
      <c r="AB66" s="150">
        <f t="shared" si="16"/>
        <v>17379.148900000004</v>
      </c>
      <c r="AD66" s="592">
        <f t="shared" si="17"/>
        <v>47.699336398865633</v>
      </c>
      <c r="AE66" s="593">
        <f t="shared" si="18"/>
        <v>-84.121378042349264</v>
      </c>
      <c r="AG66" s="592">
        <f t="shared" si="19"/>
        <v>26.97591111591581</v>
      </c>
      <c r="AH66" s="593">
        <f t="shared" si="20"/>
        <v>-7.3907279440351488</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5">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1.0000047263847285</v>
      </c>
      <c r="N67" s="585">
        <f t="shared" si="5"/>
        <v>-3.0745295942716079E-3</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48.475198338013556</v>
      </c>
      <c r="X67" s="590">
        <f t="shared" si="13"/>
        <v>-91.905594860836032</v>
      </c>
      <c r="Y67" s="593">
        <f t="shared" si="14"/>
        <v>88.094405139163968</v>
      </c>
      <c r="AA67" s="150">
        <f t="shared" si="15"/>
        <v>1000000000</v>
      </c>
      <c r="AB67" s="150">
        <f t="shared" si="16"/>
        <v>20891.811599999997</v>
      </c>
      <c r="AD67" s="592">
        <f t="shared" si="17"/>
        <v>46.908452028229888</v>
      </c>
      <c r="AE67" s="593">
        <f t="shared" si="18"/>
        <v>-83.602986462233318</v>
      </c>
      <c r="AG67" s="592">
        <f t="shared" si="19"/>
        <v>26.961658276311141</v>
      </c>
      <c r="AH67" s="593">
        <f t="shared" si="20"/>
        <v>-8.0944709107303119</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5">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1.0000056827230728</v>
      </c>
      <c r="N68" s="585">
        <f t="shared" si="5"/>
        <v>-3.3712597531914581E-3</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47.668139943616268</v>
      </c>
      <c r="X68" s="590">
        <f t="shared" si="13"/>
        <v>-92.123754202823022</v>
      </c>
      <c r="Y68" s="593">
        <f t="shared" si="14"/>
        <v>87.876245797176978</v>
      </c>
      <c r="AA68" s="150">
        <f t="shared" si="15"/>
        <v>1000000000</v>
      </c>
      <c r="AB68" s="150">
        <f t="shared" si="16"/>
        <v>25119.080100000003</v>
      </c>
      <c r="AD68" s="592">
        <f t="shared" si="17"/>
        <v>46.118487994764195</v>
      </c>
      <c r="AE68" s="593">
        <f t="shared" si="18"/>
        <v>-83.031413707723928</v>
      </c>
      <c r="AG68" s="592">
        <f t="shared" si="19"/>
        <v>26.944567741400181</v>
      </c>
      <c r="AH68" s="593">
        <f t="shared" si="20"/>
        <v>-8.8641150429139017</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5">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1.0000068320667082</v>
      </c>
      <c r="N69" s="585">
        <f t="shared" si="5"/>
        <v>-3.6964923402786854E-3</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46.860083041502804</v>
      </c>
      <c r="X69" s="590">
        <f t="shared" si="13"/>
        <v>-92.357404570394223</v>
      </c>
      <c r="Y69" s="593">
        <f t="shared" si="14"/>
        <v>87.642595429605777</v>
      </c>
      <c r="AA69" s="150">
        <f t="shared" si="15"/>
        <v>1000000000</v>
      </c>
      <c r="AB69" s="150">
        <f t="shared" si="16"/>
        <v>30199.488400000002</v>
      </c>
      <c r="AD69" s="592">
        <f t="shared" si="17"/>
        <v>45.330886711554882</v>
      </c>
      <c r="AE69" s="593">
        <f t="shared" si="18"/>
        <v>-82.403077230231247</v>
      </c>
      <c r="AG69" s="592">
        <f t="shared" si="19"/>
        <v>26.924116720675254</v>
      </c>
      <c r="AH69" s="593">
        <f t="shared" si="20"/>
        <v>-9.704084335001399</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5">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1.0000082142916491</v>
      </c>
      <c r="N70" s="585">
        <f t="shared" si="5"/>
        <v>-4.0532050085275327E-3</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46.050237951378392</v>
      </c>
      <c r="X70" s="590">
        <f t="shared" si="13"/>
        <v>-92.607942549032657</v>
      </c>
      <c r="Y70" s="593">
        <f t="shared" si="14"/>
        <v>87.392057450967343</v>
      </c>
      <c r="AA70" s="150">
        <f t="shared" si="15"/>
        <v>1000000000</v>
      </c>
      <c r="AB70" s="150">
        <f t="shared" si="16"/>
        <v>36309.302500000005</v>
      </c>
      <c r="AD70" s="592">
        <f t="shared" si="17"/>
        <v>44.545514986434867</v>
      </c>
      <c r="AE70" s="593">
        <f t="shared" si="18"/>
        <v>-81.712900471339296</v>
      </c>
      <c r="AG70" s="592">
        <f t="shared" si="19"/>
        <v>26.899648885542476</v>
      </c>
      <c r="AH70" s="593">
        <f t="shared" si="20"/>
        <v>-10.620650334562127</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5">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1.0000098753719049</v>
      </c>
      <c r="N71" s="585">
        <f t="shared" si="5"/>
        <v>-4.4441626064719046E-3</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45.238901983598289</v>
      </c>
      <c r="X71" s="590">
        <f t="shared" si="13"/>
        <v>-92.876352547004259</v>
      </c>
      <c r="Y71" s="593">
        <f t="shared" si="14"/>
        <v>87.123647452995741</v>
      </c>
      <c r="AA71" s="150">
        <f t="shared" si="15"/>
        <v>1000000000</v>
      </c>
      <c r="AB71" s="150">
        <f t="shared" si="16"/>
        <v>43651.744900000005</v>
      </c>
      <c r="AD71" s="592">
        <f t="shared" si="17"/>
        <v>43.763408346171119</v>
      </c>
      <c r="AE71" s="593">
        <f t="shared" si="18"/>
        <v>-80.95641608083416</v>
      </c>
      <c r="AG71" s="592">
        <f t="shared" si="19"/>
        <v>26.870426203520804</v>
      </c>
      <c r="AH71" s="593">
        <f t="shared" si="20"/>
        <v>-11.619077604775878</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5">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1.0000118730878773</v>
      </c>
      <c r="N72" s="585">
        <f t="shared" si="5"/>
        <v>-4.8729806901562627E-3</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44.425127201717729</v>
      </c>
      <c r="X72" s="590">
        <f t="shared" si="13"/>
        <v>-93.163885370153835</v>
      </c>
      <c r="Y72" s="593">
        <f t="shared" si="14"/>
        <v>86.836114629846165</v>
      </c>
      <c r="AA72" s="150">
        <f t="shared" si="15"/>
        <v>1000000000</v>
      </c>
      <c r="AB72" s="150">
        <f t="shared" si="16"/>
        <v>52482.2281</v>
      </c>
      <c r="AD72" s="592">
        <f t="shared" si="17"/>
        <v>42.984527806327122</v>
      </c>
      <c r="AE72" s="593">
        <f t="shared" si="18"/>
        <v>-80.127778017486676</v>
      </c>
      <c r="AG72" s="592">
        <f t="shared" si="19"/>
        <v>26.835539953768098</v>
      </c>
      <c r="AH72" s="593">
        <f t="shared" si="20"/>
        <v>-12.706218199047068</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5">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1.0000142743252485</v>
      </c>
      <c r="N73" s="585">
        <f t="shared" si="5"/>
        <v>-5.3430619411608694E-3</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43.609003394850134</v>
      </c>
      <c r="X73" s="590">
        <f t="shared" si="13"/>
        <v>-93.471246689279056</v>
      </c>
      <c r="Y73" s="593">
        <f t="shared" si="14"/>
        <v>86.528753310720944</v>
      </c>
      <c r="AA73" s="150">
        <f t="shared" si="15"/>
        <v>1000000000</v>
      </c>
      <c r="AB73" s="150">
        <f t="shared" si="16"/>
        <v>63096.416100000002</v>
      </c>
      <c r="AD73" s="592">
        <f t="shared" si="17"/>
        <v>42.209978706306458</v>
      </c>
      <c r="AE73" s="593">
        <f t="shared" si="18"/>
        <v>-79.221906103413502</v>
      </c>
      <c r="AG73" s="592">
        <f t="shared" si="19"/>
        <v>26.793974853589621</v>
      </c>
      <c r="AH73" s="593">
        <f t="shared" si="20"/>
        <v>-13.887627574270903</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5">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1.0000171609457109</v>
      </c>
      <c r="N74" s="585">
        <f t="shared" si="5"/>
        <v>-5.8584469442632629E-3</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42.789991757664112</v>
      </c>
      <c r="X74" s="590">
        <f t="shared" si="13"/>
        <v>-93.799080943038248</v>
      </c>
      <c r="Y74" s="593">
        <f t="shared" si="14"/>
        <v>86.200919056961752</v>
      </c>
      <c r="AA74" s="150">
        <f t="shared" si="15"/>
        <v>1000000000</v>
      </c>
      <c r="AB74" s="150">
        <f t="shared" si="16"/>
        <v>75856.176400000011</v>
      </c>
      <c r="AD74" s="592">
        <f t="shared" si="17"/>
        <v>41.440424222596661</v>
      </c>
      <c r="AE74" s="593">
        <f t="shared" si="18"/>
        <v>-78.23295124604509</v>
      </c>
      <c r="AG74" s="592">
        <f t="shared" si="19"/>
        <v>26.744529248679289</v>
      </c>
      <c r="AH74" s="593">
        <f t="shared" si="20"/>
        <v>-15.16952567264183</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5">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1.0000206330486157</v>
      </c>
      <c r="N75" s="585">
        <f t="shared" si="5"/>
        <v>-6.4238141089294843E-3</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41.96718722360454</v>
      </c>
      <c r="X75" s="590">
        <f t="shared" si="13"/>
        <v>-94.147833249743641</v>
      </c>
      <c r="Y75" s="593">
        <f t="shared" si="14"/>
        <v>85.852166750256359</v>
      </c>
      <c r="AA75" s="150">
        <f t="shared" si="15"/>
        <v>1000000000</v>
      </c>
      <c r="AB75" s="150">
        <f t="shared" si="16"/>
        <v>91204</v>
      </c>
      <c r="AD75" s="592">
        <f t="shared" si="17"/>
        <v>40.676371025808521</v>
      </c>
      <c r="AE75" s="593">
        <f t="shared" si="18"/>
        <v>-77.154446215048026</v>
      </c>
      <c r="AG75" s="592">
        <f t="shared" si="19"/>
        <v>26.685791802351652</v>
      </c>
      <c r="AH75" s="593">
        <f t="shared" si="20"/>
        <v>-16.558508057269439</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5">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1.0000248053676228</v>
      </c>
      <c r="N76" s="585">
        <f t="shared" si="5"/>
        <v>-7.0434160573551521E-3</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41.140867891351043</v>
      </c>
      <c r="X76" s="590">
        <f t="shared" si="13"/>
        <v>-94.516969437308845</v>
      </c>
      <c r="Y76" s="593">
        <f t="shared" si="14"/>
        <v>85.483030562691155</v>
      </c>
      <c r="AA76" s="150">
        <f t="shared" si="15"/>
        <v>1000000000</v>
      </c>
      <c r="AB76" s="150">
        <f t="shared" si="16"/>
        <v>109647.0769</v>
      </c>
      <c r="AD76" s="592">
        <f t="shared" si="17"/>
        <v>39.91961530833894</v>
      </c>
      <c r="AE76" s="593">
        <f t="shared" si="18"/>
        <v>-75.981506476475758</v>
      </c>
      <c r="AG76" s="592">
        <f t="shared" si="19"/>
        <v>26.616244879923322</v>
      </c>
      <c r="AH76" s="593">
        <f t="shared" si="20"/>
        <v>-18.058637108761125</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5">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1.0000298230580276</v>
      </c>
      <c r="N77" s="585">
        <f t="shared" ref="N77:N140" si="41">-ATAN(G77/z_RHP)</f>
        <v>-7.7229938323873752E-3</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40.309827543771029</v>
      </c>
      <c r="X77" s="590">
        <f t="shared" ref="X77:X140" si="49">((L77+R77+N77+V77)-(J77+P77+T77))*radconv</f>
        <v>-94.906001519889202</v>
      </c>
      <c r="Y77" s="593">
        <f t="shared" ref="Y77:Y140" si="50">IF(X77&gt;0,X77,X77+180)</f>
        <v>85.093998480110798</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26.534056984530675</v>
      </c>
      <c r="AH77" s="593">
        <f t="shared" ref="AH77:AH140" si="56">(L77+N77-(J77+V77))*radconv</f>
        <v>-19.675765935627805</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5">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1.0000358552193245</v>
      </c>
      <c r="N78" s="585">
        <f t="shared" si="41"/>
        <v>-8.4680751090887539E-3</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39.473815090060782</v>
      </c>
      <c r="X78" s="590">
        <f t="shared" si="49"/>
        <v>-95.313303034909083</v>
      </c>
      <c r="Y78" s="593">
        <f t="shared" si="50"/>
        <v>84.686696965090917</v>
      </c>
      <c r="AA78" s="150">
        <f t="shared" si="51"/>
        <v>1000000000</v>
      </c>
      <c r="AB78" s="150">
        <f t="shared" si="52"/>
        <v>158491.57210000002</v>
      </c>
      <c r="AD78" s="592">
        <f t="shared" si="53"/>
        <v>38.43158144437551</v>
      </c>
      <c r="AE78" s="593">
        <f t="shared" si="54"/>
        <v>-73.327054898158238</v>
      </c>
      <c r="AG78" s="592">
        <f t="shared" si="55"/>
        <v>26.437270150353026</v>
      </c>
      <c r="AH78" s="593">
        <f t="shared" si="56"/>
        <v>-21.412972079253802</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5">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1.0000431075090874</v>
      </c>
      <c r="N79" s="585">
        <f t="shared" si="41"/>
        <v>-9.2850374901341307E-3</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38.632193705127243</v>
      </c>
      <c r="X79" s="590">
        <f t="shared" si="49"/>
        <v>-95.73658879941361</v>
      </c>
      <c r="Y79" s="593">
        <f t="shared" si="50"/>
        <v>84.26341120058639</v>
      </c>
      <c r="AA79" s="150">
        <f t="shared" si="51"/>
        <v>1000000000</v>
      </c>
      <c r="AB79" s="150">
        <f t="shared" si="52"/>
        <v>190549.71039999998</v>
      </c>
      <c r="AD79" s="592">
        <f t="shared" si="53"/>
        <v>37.703564833450642</v>
      </c>
      <c r="AE79" s="593">
        <f t="shared" si="54"/>
        <v>-71.835343223208639</v>
      </c>
      <c r="AG79" s="592">
        <f t="shared" si="55"/>
        <v>26.323694391136478</v>
      </c>
      <c r="AH79" s="593">
        <f t="shared" si="56"/>
        <v>-23.272659864243082</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5">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1.0000518253895037</v>
      </c>
      <c r="N80" s="585">
        <f t="shared" si="41"/>
        <v>-1.0180682823551364E-2</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37.784542713839791</v>
      </c>
      <c r="X80" s="590">
        <f t="shared" si="49"/>
        <v>-96.172540399149725</v>
      </c>
      <c r="Y80" s="593">
        <f t="shared" si="50"/>
        <v>83.827459600850275</v>
      </c>
      <c r="AA80" s="150">
        <f t="shared" si="51"/>
        <v>1000000000</v>
      </c>
      <c r="AB80" s="150">
        <f t="shared" si="52"/>
        <v>229086.67689999999</v>
      </c>
      <c r="AD80" s="592">
        <f t="shared" si="53"/>
        <v>36.988654309095338</v>
      </c>
      <c r="AE80" s="593">
        <f t="shared" si="54"/>
        <v>-70.228267953580016</v>
      </c>
      <c r="AG80" s="592">
        <f t="shared" si="55"/>
        <v>26.19098880265787</v>
      </c>
      <c r="AH80" s="593">
        <f t="shared" si="56"/>
        <v>-25.25504931627766</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5">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1.0000623081231423</v>
      </c>
      <c r="N81" s="585">
        <f t="shared" si="41"/>
        <v>-1.1162874904109259E-2</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36.930140550306703</v>
      </c>
      <c r="X81" s="590">
        <f t="shared" si="49"/>
        <v>-96.617020635235406</v>
      </c>
      <c r="Y81" s="593">
        <f t="shared" si="50"/>
        <v>83.382979364764594</v>
      </c>
      <c r="AA81" s="150">
        <f t="shared" si="51"/>
        <v>1000000000</v>
      </c>
      <c r="AB81" s="150">
        <f t="shared" si="52"/>
        <v>275425.53609999997</v>
      </c>
      <c r="AD81" s="592">
        <f t="shared" si="53"/>
        <v>36.288668919468599</v>
      </c>
      <c r="AE81" s="593">
        <f t="shared" si="54"/>
        <v>-68.502235366764012</v>
      </c>
      <c r="AG81" s="592">
        <f t="shared" si="55"/>
        <v>26.036613968253167</v>
      </c>
      <c r="AH81" s="593">
        <f t="shared" si="56"/>
        <v>-27.359064234770621</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5">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1.0000749096597417</v>
      </c>
      <c r="N82" s="585">
        <f t="shared" si="41"/>
        <v>-1.2239688217141815E-2</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36.068853604786121</v>
      </c>
      <c r="X82" s="590">
        <f t="shared" si="49"/>
        <v>-97.064634346871898</v>
      </c>
      <c r="Y82" s="593">
        <f t="shared" si="50"/>
        <v>82.935365653128102</v>
      </c>
      <c r="AA82" s="150">
        <f t="shared" si="51"/>
        <v>1000000000</v>
      </c>
      <c r="AB82" s="150">
        <f t="shared" si="52"/>
        <v>331131.19360000006</v>
      </c>
      <c r="AD82" s="592">
        <f t="shared" si="53"/>
        <v>35.606019439327802</v>
      </c>
      <c r="AE82" s="593">
        <f t="shared" si="54"/>
        <v>-66.656053084654957</v>
      </c>
      <c r="AG82" s="592">
        <f t="shared" si="55"/>
        <v>25.85802691965376</v>
      </c>
      <c r="AH82" s="593">
        <f t="shared" si="56"/>
        <v>-29.579954736257772</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5">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1.0000900612759265</v>
      </c>
      <c r="N83" s="585">
        <f t="shared" si="41"/>
        <v>-1.3420470725821995E-2</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35.20031201711403</v>
      </c>
      <c r="X83" s="590">
        <f t="shared" si="49"/>
        <v>-97.509268899448443</v>
      </c>
      <c r="Y83" s="593">
        <f t="shared" si="50"/>
        <v>82.490731100551557</v>
      </c>
      <c r="AA83" s="150">
        <f t="shared" si="51"/>
        <v>1000000000</v>
      </c>
      <c r="AB83" s="150">
        <f t="shared" si="52"/>
        <v>398110.52160000004</v>
      </c>
      <c r="AD83" s="592">
        <f t="shared" si="53"/>
        <v>34.942962538476799</v>
      </c>
      <c r="AE83" s="593">
        <f t="shared" si="54"/>
        <v>-64.689576298552453</v>
      </c>
      <c r="AG83" s="592">
        <f t="shared" si="55"/>
        <v>25.652602852567853</v>
      </c>
      <c r="AH83" s="593">
        <f t="shared" si="56"/>
        <v>-31.911119526364882</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5">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1.0001082752676409</v>
      </c>
      <c r="N84" s="585">
        <f t="shared" si="41"/>
        <v>-1.4714992282162481E-2</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34.324712792781852</v>
      </c>
      <c r="X84" s="590">
        <f t="shared" si="49"/>
        <v>-97.943913235199588</v>
      </c>
      <c r="Y84" s="593">
        <f t="shared" si="50"/>
        <v>82.056086764800412</v>
      </c>
      <c r="AA84" s="150">
        <f t="shared" si="51"/>
        <v>1000000000</v>
      </c>
      <c r="AB84" s="150">
        <f t="shared" si="52"/>
        <v>478628.74890000006</v>
      </c>
      <c r="AD84" s="592">
        <f t="shared" si="53"/>
        <v>34.302155868849695</v>
      </c>
      <c r="AE84" s="593">
        <f t="shared" si="54"/>
        <v>-62.605694197439782</v>
      </c>
      <c r="AG84" s="592">
        <f t="shared" si="55"/>
        <v>25.41788317048232</v>
      </c>
      <c r="AH84" s="593">
        <f t="shared" si="56"/>
        <v>-34.341996130857332</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5">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1.0001301752757459</v>
      </c>
      <c r="N85" s="585">
        <f t="shared" si="41"/>
        <v>-1.6134506870613408E-2</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33.442155048245247</v>
      </c>
      <c r="X85" s="590">
        <f t="shared" si="49"/>
        <v>-98.361356452822079</v>
      </c>
      <c r="Y85" s="593">
        <f t="shared" si="50"/>
        <v>81.638643547177921</v>
      </c>
      <c r="AA85" s="150">
        <f t="shared" si="51"/>
        <v>1000000000</v>
      </c>
      <c r="AB85" s="150">
        <f t="shared" si="52"/>
        <v>575443.61640000006</v>
      </c>
      <c r="AD85" s="592">
        <f t="shared" si="53"/>
        <v>33.686055422608348</v>
      </c>
      <c r="AE85" s="593">
        <f t="shared" si="54"/>
        <v>-60.409080185775785</v>
      </c>
      <c r="AG85" s="592">
        <f t="shared" si="55"/>
        <v>25.151513493254694</v>
      </c>
      <c r="AH85" s="593">
        <f t="shared" si="56"/>
        <v>-36.859937272625423</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5">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1.0001565006247244</v>
      </c>
      <c r="N86" s="585">
        <f t="shared" si="41"/>
        <v>-1.7690687780778234E-2</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32.553445175316355</v>
      </c>
      <c r="X86" s="590">
        <f t="shared" si="49"/>
        <v>-98.754278438882139</v>
      </c>
      <c r="Y86" s="593">
        <f t="shared" si="50"/>
        <v>81.245721561117861</v>
      </c>
      <c r="AA86" s="150">
        <f t="shared" si="51"/>
        <v>1000000000</v>
      </c>
      <c r="AB86" s="150">
        <f t="shared" si="52"/>
        <v>691824.69759999996</v>
      </c>
      <c r="AD86" s="592">
        <f t="shared" si="53"/>
        <v>33.097394510230636</v>
      </c>
      <c r="AE86" s="593">
        <f t="shared" si="54"/>
        <v>-58.108326797757037</v>
      </c>
      <c r="AG86" s="592">
        <f t="shared" si="55"/>
        <v>24.851569860847896</v>
      </c>
      <c r="AH86" s="593">
        <f t="shared" si="56"/>
        <v>-39.448238603590141</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5">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1.0001881535173489</v>
      </c>
      <c r="N87" s="585">
        <f t="shared" si="41"/>
        <v>-1.9397114250828164E-2</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31.659260076289403</v>
      </c>
      <c r="X87" s="590">
        <f t="shared" si="49"/>
        <v>-99.1162158826031</v>
      </c>
      <c r="Y87" s="593">
        <f t="shared" si="50"/>
        <v>80.8837841173969</v>
      </c>
      <c r="AA87" s="150">
        <f t="shared" si="51"/>
        <v>1000000000</v>
      </c>
      <c r="AB87" s="150">
        <f t="shared" si="52"/>
        <v>831762.24009999994</v>
      </c>
      <c r="AD87" s="592">
        <f t="shared" si="53"/>
        <v>32.538496569888487</v>
      </c>
      <c r="AE87" s="593">
        <f t="shared" si="54"/>
        <v>-55.713995610706419</v>
      </c>
      <c r="AG87" s="592">
        <f t="shared" si="55"/>
        <v>24.516409348009631</v>
      </c>
      <c r="AH87" s="593">
        <f t="shared" si="56"/>
        <v>-42.088954033170275</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5">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1.0002262063950389</v>
      </c>
      <c r="N88" s="585">
        <f t="shared" si="41"/>
        <v>-2.126799295454395E-2</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30.760940191344016</v>
      </c>
      <c r="X88" s="590">
        <f t="shared" si="49"/>
        <v>-99.441818522262295</v>
      </c>
      <c r="Y88" s="593">
        <f t="shared" si="50"/>
        <v>80.558181477737705</v>
      </c>
      <c r="AA88" s="150">
        <f t="shared" si="51"/>
        <v>1000000000</v>
      </c>
      <c r="AB88" s="150">
        <f t="shared" si="52"/>
        <v>1000000</v>
      </c>
      <c r="AD88" s="592">
        <f t="shared" si="53"/>
        <v>32.011706861898617</v>
      </c>
      <c r="AE88" s="593">
        <f t="shared" si="54"/>
        <v>-53.240690226578565</v>
      </c>
      <c r="AG88" s="592">
        <f t="shared" si="55"/>
        <v>24.145031426827238</v>
      </c>
      <c r="AH88" s="593">
        <f t="shared" si="56"/>
        <v>-44.761165419186149</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5">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1.0002719644981974</v>
      </c>
      <c r="N89" s="585">
        <f t="shared" si="41"/>
        <v>-2.3319643018639338E-2</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29.859730908150965</v>
      </c>
      <c r="X89" s="590">
        <f t="shared" si="49"/>
        <v>-99.727727802544479</v>
      </c>
      <c r="Y89" s="593">
        <f t="shared" si="50"/>
        <v>80.272272197455521</v>
      </c>
      <c r="AA89" s="150">
        <f t="shared" si="51"/>
        <v>1000000000</v>
      </c>
      <c r="AB89" s="150">
        <f t="shared" si="52"/>
        <v>1202312.25</v>
      </c>
      <c r="AD89" s="592">
        <f t="shared" si="53"/>
        <v>31.518831995209332</v>
      </c>
      <c r="AE89" s="593">
        <f t="shared" si="54"/>
        <v>-50.704960150181321</v>
      </c>
      <c r="AG89" s="592">
        <f t="shared" si="55"/>
        <v>23.736880100379032</v>
      </c>
      <c r="AH89" s="593">
        <f t="shared" si="56"/>
        <v>-47.44385659297415</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5">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1.0003269705931865</v>
      </c>
      <c r="N90" s="585">
        <f t="shared" si="41"/>
        <v>-2.5568790607431585E-2</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28.957549505206245</v>
      </c>
      <c r="X90" s="590">
        <f t="shared" si="49"/>
        <v>-99.972770632341181</v>
      </c>
      <c r="Y90" s="593">
        <f t="shared" si="50"/>
        <v>80.027229367658819</v>
      </c>
      <c r="AA90" s="150">
        <f t="shared" si="51"/>
        <v>1000000000</v>
      </c>
      <c r="AB90" s="150">
        <f t="shared" si="52"/>
        <v>1445525.2899999998</v>
      </c>
      <c r="AD90" s="592">
        <f t="shared" si="53"/>
        <v>31.061510894630921</v>
      </c>
      <c r="AE90" s="593">
        <f t="shared" si="54"/>
        <v>-48.127212022401167</v>
      </c>
      <c r="AG90" s="592">
        <f t="shared" si="55"/>
        <v>23.29223989807053</v>
      </c>
      <c r="AH90" s="593">
        <f t="shared" si="56"/>
        <v>-50.114311127125205</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5">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1.0003930946644166</v>
      </c>
      <c r="N91" s="585">
        <f t="shared" si="41"/>
        <v>-2.8034476563109586E-2</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28.056066979198008</v>
      </c>
      <c r="X91" s="590">
        <f t="shared" si="49"/>
        <v>-100.17853271733564</v>
      </c>
      <c r="Y91" s="593">
        <f t="shared" si="50"/>
        <v>79.821467282664358</v>
      </c>
      <c r="AA91" s="150">
        <f t="shared" si="51"/>
        <v>1000000000</v>
      </c>
      <c r="AB91" s="150">
        <f t="shared" si="52"/>
        <v>1737914.89</v>
      </c>
      <c r="AD91" s="592">
        <f t="shared" si="53"/>
        <v>30.640658979876125</v>
      </c>
      <c r="AE91" s="593">
        <f t="shared" si="54"/>
        <v>-45.52877778036747</v>
      </c>
      <c r="AG91" s="592">
        <f t="shared" si="55"/>
        <v>22.811873883301821</v>
      </c>
      <c r="AH91" s="593">
        <f t="shared" si="56"/>
        <v>-52.751487986452993</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5">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1.0004725279484592</v>
      </c>
      <c r="N92" s="585">
        <f t="shared" si="41"/>
        <v>-3.0735710649684514E-2</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27.157511999038782</v>
      </c>
      <c r="X92" s="590">
        <f t="shared" si="49"/>
        <v>-100.34918904691028</v>
      </c>
      <c r="Y92" s="593">
        <f t="shared" si="50"/>
        <v>79.650810953089717</v>
      </c>
      <c r="AA92" s="150">
        <f t="shared" si="51"/>
        <v>1000000000</v>
      </c>
      <c r="AB92" s="150">
        <f t="shared" si="52"/>
        <v>2089181.1600000001</v>
      </c>
      <c r="AD92" s="592">
        <f t="shared" si="53"/>
        <v>30.25684358779953</v>
      </c>
      <c r="AE92" s="593">
        <f t="shared" si="54"/>
        <v>-42.933685381100965</v>
      </c>
      <c r="AG92" s="592">
        <f t="shared" si="55"/>
        <v>22.297452162039413</v>
      </c>
      <c r="AH92" s="593">
        <f t="shared" si="56"/>
        <v>-55.334239760115757</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5">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1.0005681125460077</v>
      </c>
      <c r="N93" s="585">
        <f t="shared" si="41"/>
        <v>-3.3699961912286476E-2</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26.261899234189126</v>
      </c>
      <c r="X93" s="590">
        <f t="shared" si="49"/>
        <v>-100.49178881304952</v>
      </c>
      <c r="Y93" s="593">
        <f t="shared" si="50"/>
        <v>79.508211186950476</v>
      </c>
      <c r="AA93" s="150">
        <f t="shared" si="51"/>
        <v>1000000000</v>
      </c>
      <c r="AB93" s="150">
        <f t="shared" si="52"/>
        <v>2511908.0100000002</v>
      </c>
      <c r="AD93" s="592">
        <f t="shared" si="53"/>
        <v>29.909162695793711</v>
      </c>
      <c r="AE93" s="593">
        <f t="shared" si="54"/>
        <v>-40.360053339157048</v>
      </c>
      <c r="AG93" s="592">
        <f t="shared" si="55"/>
        <v>21.749902807716825</v>
      </c>
      <c r="AH93" s="593">
        <f t="shared" si="56"/>
        <v>-57.849627253165671</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5">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1.0006829757767266</v>
      </c>
      <c r="N94" s="585">
        <f t="shared" si="41"/>
        <v>-3.694826896829366E-2</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25.371792305942872</v>
      </c>
      <c r="X94" s="590">
        <f t="shared" si="49"/>
        <v>-100.61500450440694</v>
      </c>
      <c r="Y94" s="593">
        <f t="shared" si="50"/>
        <v>79.38499549559306</v>
      </c>
      <c r="AA94" s="150">
        <f t="shared" si="51"/>
        <v>1000000000</v>
      </c>
      <c r="AB94" s="150">
        <f t="shared" si="52"/>
        <v>3019948.84</v>
      </c>
      <c r="AD94" s="592">
        <f t="shared" si="53"/>
        <v>29.597264906476575</v>
      </c>
      <c r="AE94" s="593">
        <f t="shared" si="54"/>
        <v>-37.833173727142679</v>
      </c>
      <c r="AG94" s="592">
        <f t="shared" si="55"/>
        <v>21.172153366005354</v>
      </c>
      <c r="AH94" s="593">
        <f t="shared" si="56"/>
        <v>-60.279593579309349</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5">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1.0008210954397692</v>
      </c>
      <c r="N95" s="585">
        <f t="shared" si="41"/>
        <v>-4.051009754891001E-2</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24.487614012557536</v>
      </c>
      <c r="X95" s="590">
        <f t="shared" si="49"/>
        <v>-100.72941668526784</v>
      </c>
      <c r="Y95" s="593">
        <f t="shared" si="50"/>
        <v>79.270583314732164</v>
      </c>
      <c r="AA95" s="150">
        <f t="shared" si="51"/>
        <v>1000000000</v>
      </c>
      <c r="AB95" s="150">
        <f t="shared" si="52"/>
        <v>3630930.25</v>
      </c>
      <c r="AD95" s="592">
        <f t="shared" si="53"/>
        <v>29.319517398115309</v>
      </c>
      <c r="AE95" s="593">
        <f t="shared" si="54"/>
        <v>-35.371347547186325</v>
      </c>
      <c r="AG95" s="592">
        <f t="shared" si="55"/>
        <v>20.566275393615975</v>
      </c>
      <c r="AH95" s="593">
        <f t="shared" si="56"/>
        <v>-62.614405943633379</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5">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1.000987054927917</v>
      </c>
      <c r="N96" s="585">
        <f t="shared" si="41"/>
        <v>-4.4412694431252064E-2</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23.610712744140599</v>
      </c>
      <c r="X96" s="590">
        <f t="shared" si="49"/>
        <v>-100.84643854200321</v>
      </c>
      <c r="Y96" s="593">
        <f t="shared" si="50"/>
        <v>79.153561457996787</v>
      </c>
      <c r="AA96" s="150">
        <f t="shared" si="51"/>
        <v>1000000000</v>
      </c>
      <c r="AB96" s="150">
        <f t="shared" si="52"/>
        <v>4365174.4900000012</v>
      </c>
      <c r="AD96" s="592">
        <f t="shared" si="53"/>
        <v>29.074239317427949</v>
      </c>
      <c r="AE96" s="593">
        <f t="shared" si="54"/>
        <v>-32.993991301997042</v>
      </c>
      <c r="AG96" s="592">
        <f t="shared" si="55"/>
        <v>19.935316503222698</v>
      </c>
      <c r="AH96" s="593">
        <f t="shared" si="56"/>
        <v>-64.844193741065695</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5">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1.0011866118124448</v>
      </c>
      <c r="N97" s="585">
        <f t="shared" si="41"/>
        <v>-4.8691675394319713E-2</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22.740829401405094</v>
      </c>
      <c r="X97" s="590">
        <f t="shared" si="49"/>
        <v>-100.97810524795571</v>
      </c>
      <c r="Y97" s="593">
        <f t="shared" si="50"/>
        <v>79.02189475204429</v>
      </c>
      <c r="AA97" s="150">
        <f t="shared" si="51"/>
        <v>1000000000</v>
      </c>
      <c r="AB97" s="150">
        <f t="shared" si="52"/>
        <v>5248222.8100000005</v>
      </c>
      <c r="AD97" s="592">
        <f t="shared" si="53"/>
        <v>28.859015314633968</v>
      </c>
      <c r="AE97" s="593">
        <f t="shared" si="54"/>
        <v>-30.714149618126619</v>
      </c>
      <c r="AG97" s="592">
        <f t="shared" si="55"/>
        <v>19.281456027132432</v>
      </c>
      <c r="AH97" s="593">
        <f t="shared" si="56"/>
        <v>-66.965505852931486</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5">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1.001426425367997</v>
      </c>
      <c r="N98" s="585">
        <f t="shared" si="41"/>
        <v>-5.3380368205475863E-2</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21.878600733479242</v>
      </c>
      <c r="X98" s="590">
        <f t="shared" si="49"/>
        <v>-101.13626642264596</v>
      </c>
      <c r="Y98" s="593">
        <f t="shared" si="50"/>
        <v>78.86373357735404</v>
      </c>
      <c r="AA98" s="150">
        <f t="shared" si="51"/>
        <v>1000000000</v>
      </c>
      <c r="AB98" s="150">
        <f t="shared" si="52"/>
        <v>6309641.6100000003</v>
      </c>
      <c r="AD98" s="592">
        <f t="shared" si="53"/>
        <v>28.671515675596254</v>
      </c>
      <c r="AE98" s="593">
        <f t="shared" si="54"/>
        <v>-28.544980173974135</v>
      </c>
      <c r="AG98" s="592">
        <f t="shared" si="55"/>
        <v>18.607687138346346</v>
      </c>
      <c r="AH98" s="593">
        <f t="shared" si="56"/>
        <v>-68.974738430881217</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5">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1.0017146393020175</v>
      </c>
      <c r="N99" s="585">
        <f t="shared" si="41"/>
        <v>-5.8518251707529126E-2</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21.023811413744454</v>
      </c>
      <c r="X99" s="590">
        <f t="shared" si="49"/>
        <v>-101.33248814124815</v>
      </c>
      <c r="Y99" s="593">
        <f t="shared" si="50"/>
        <v>78.667511858751851</v>
      </c>
      <c r="AA99" s="150">
        <f t="shared" si="51"/>
        <v>1000000000</v>
      </c>
      <c r="AB99" s="150">
        <f t="shared" si="52"/>
        <v>7585617.6399999987</v>
      </c>
      <c r="AD99" s="592">
        <f t="shared" si="53"/>
        <v>28.509120712455584</v>
      </c>
      <c r="AE99" s="593">
        <f t="shared" si="54"/>
        <v>-26.494907869196108</v>
      </c>
      <c r="AG99" s="592">
        <f t="shared" si="55"/>
        <v>17.916446877152502</v>
      </c>
      <c r="AH99" s="593">
        <f t="shared" si="56"/>
        <v>-70.872307548592843</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5">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1.0020612018711286</v>
      </c>
      <c r="N100" s="585">
        <f t="shared" si="41"/>
        <v>-6.4150878813983833E-2</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20.17575343905083</v>
      </c>
      <c r="X100" s="590">
        <f t="shared" si="49"/>
        <v>-101.57788563611612</v>
      </c>
      <c r="Y100" s="593">
        <f t="shared" si="50"/>
        <v>78.422114363883878</v>
      </c>
      <c r="AA100" s="150">
        <f t="shared" si="51"/>
        <v>1000000000</v>
      </c>
      <c r="AB100" s="150">
        <f t="shared" si="52"/>
        <v>9120400</v>
      </c>
      <c r="AD100" s="592">
        <f t="shared" si="53"/>
        <v>28.369153906235059</v>
      </c>
      <c r="AE100" s="593">
        <f t="shared" si="54"/>
        <v>-24.568813980946896</v>
      </c>
      <c r="AG100" s="592">
        <f t="shared" si="55"/>
        <v>17.209743702432522</v>
      </c>
      <c r="AH100" s="593">
        <f t="shared" si="56"/>
        <v>-72.661293651659236</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5">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1.0024774985281217</v>
      </c>
      <c r="N101" s="585">
        <f t="shared" si="41"/>
        <v>-7.0319191114561877E-2</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19.334865319999022</v>
      </c>
      <c r="X101" s="590">
        <f t="shared" si="49"/>
        <v>-101.88254587517186</v>
      </c>
      <c r="Y101" s="593">
        <f t="shared" si="50"/>
        <v>78.117454124828143</v>
      </c>
      <c r="AA101" s="150">
        <f t="shared" si="51"/>
        <v>1000000000</v>
      </c>
      <c r="AB101" s="150">
        <f t="shared" si="52"/>
        <v>10964707.690000001</v>
      </c>
      <c r="AD101" s="592">
        <f t="shared" si="53"/>
        <v>28.249204472810668</v>
      </c>
      <c r="AE101" s="593">
        <f t="shared" si="54"/>
        <v>-22.771828884830136</v>
      </c>
      <c r="AG101" s="592">
        <f t="shared" si="55"/>
        <v>16.490472662530902</v>
      </c>
      <c r="AH101" s="593">
        <f t="shared" si="56"/>
        <v>-74.343792010593546</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5">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1.0029779162808194</v>
      </c>
      <c r="N102" s="585">
        <f t="shared" si="41"/>
        <v>-7.7078466818663732E-2</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18.500032573991959</v>
      </c>
      <c r="X102" s="590">
        <f t="shared" si="49"/>
        <v>-102.25638350407591</v>
      </c>
      <c r="Y102" s="593">
        <f t="shared" si="50"/>
        <v>77.743616495924087</v>
      </c>
      <c r="AA102" s="150">
        <f t="shared" si="51"/>
        <v>1000000000</v>
      </c>
      <c r="AB102" s="150">
        <f t="shared" si="52"/>
        <v>13182708.640000001</v>
      </c>
      <c r="AD102" s="592">
        <f t="shared" si="53"/>
        <v>28.146748587876502</v>
      </c>
      <c r="AE102" s="593">
        <f t="shared" si="54"/>
        <v>-21.103524831248755</v>
      </c>
      <c r="AG102" s="592">
        <f t="shared" si="55"/>
        <v>15.760100955095728</v>
      </c>
      <c r="AH102" s="593">
        <f t="shared" si="56"/>
        <v>-75.926282191943088</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5">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1.0035791809441654</v>
      </c>
      <c r="N103" s="585">
        <f t="shared" si="41"/>
        <v>-8.4481216863304523E-2</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17.671115233712971</v>
      </c>
      <c r="X103" s="590">
        <f t="shared" si="49"/>
        <v>-102.70841931973277</v>
      </c>
      <c r="Y103" s="593">
        <f t="shared" si="50"/>
        <v>77.291580680267231</v>
      </c>
      <c r="AA103" s="150">
        <f t="shared" si="51"/>
        <v>1000000000</v>
      </c>
      <c r="AB103" s="150">
        <f t="shared" si="52"/>
        <v>15849157.209999999</v>
      </c>
      <c r="AD103" s="592">
        <f t="shared" si="53"/>
        <v>28.059575234616162</v>
      </c>
      <c r="AE103" s="593">
        <f t="shared" si="54"/>
        <v>-19.563786053553503</v>
      </c>
      <c r="AG103" s="592">
        <f t="shared" si="55"/>
        <v>15.020766971015407</v>
      </c>
      <c r="AH103" s="593">
        <f t="shared" si="56"/>
        <v>-77.414189478792821</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5">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1.0043015919748499</v>
      </c>
      <c r="N104" s="585">
        <f t="shared" si="41"/>
        <v>-9.2587565258323012E-2</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16.847595832778882</v>
      </c>
      <c r="X104" s="590">
        <f t="shared" si="49"/>
        <v>-103.24741643859485</v>
      </c>
      <c r="Y104" s="593">
        <f t="shared" si="50"/>
        <v>76.752583561405146</v>
      </c>
      <c r="AA104" s="150">
        <f t="shared" si="51"/>
        <v>1000000000</v>
      </c>
      <c r="AB104" s="150">
        <f t="shared" si="52"/>
        <v>19054971.039999999</v>
      </c>
      <c r="AD104" s="592">
        <f t="shared" si="53"/>
        <v>27.985610985880601</v>
      </c>
      <c r="AE104" s="593">
        <f t="shared" si="54"/>
        <v>-18.150227499566387</v>
      </c>
      <c r="AG104" s="592">
        <f t="shared" si="55"/>
        <v>14.274108499261661</v>
      </c>
      <c r="AH104" s="593">
        <f t="shared" si="56"/>
        <v>-78.814385345259069</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5">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1.0051693123488428</v>
      </c>
      <c r="N105" s="585">
        <f t="shared" si="41"/>
        <v>-0.10146075081987123</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16.029180901890655</v>
      </c>
      <c r="X105" s="590">
        <f t="shared" si="49"/>
        <v>-103.88177310918336</v>
      </c>
      <c r="Y105" s="593">
        <f t="shared" si="50"/>
        <v>76.118226890816644</v>
      </c>
      <c r="AA105" s="150">
        <f t="shared" si="51"/>
        <v>1000000000</v>
      </c>
      <c r="AB105" s="150">
        <f t="shared" si="52"/>
        <v>22908667.690000001</v>
      </c>
      <c r="AD105" s="592">
        <f t="shared" si="53"/>
        <v>27.923002819855004</v>
      </c>
      <c r="AE105" s="593">
        <f t="shared" si="54"/>
        <v>-16.859708903158623</v>
      </c>
      <c r="AG105" s="592">
        <f t="shared" si="55"/>
        <v>13.521782646960341</v>
      </c>
      <c r="AH105" s="593">
        <f t="shared" si="56"/>
        <v>-80.133857148643727</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5">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1.0062117137355673</v>
      </c>
      <c r="N106" s="585">
        <f t="shared" si="41"/>
        <v>-0.1111730971902072</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15.215283859704801</v>
      </c>
      <c r="X106" s="590">
        <f t="shared" si="49"/>
        <v>-104.62010110184121</v>
      </c>
      <c r="Y106" s="593">
        <f t="shared" si="50"/>
        <v>75.379898898158785</v>
      </c>
      <c r="AA106" s="150">
        <f t="shared" si="51"/>
        <v>1000000000</v>
      </c>
      <c r="AB106" s="150">
        <f t="shared" si="52"/>
        <v>27542553.610000003</v>
      </c>
      <c r="AD106" s="592">
        <f t="shared" si="53"/>
        <v>27.870075210040198</v>
      </c>
      <c r="AE106" s="593">
        <f t="shared" si="54"/>
        <v>-15.687807038319542</v>
      </c>
      <c r="AG106" s="592">
        <f t="shared" si="55"/>
        <v>12.764997146644728</v>
      </c>
      <c r="AH106" s="593">
        <f t="shared" si="56"/>
        <v>-81.380387233285504</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5">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1.0065034107397424</v>
      </c>
      <c r="N107" s="585">
        <f t="shared" si="41"/>
        <v>-0.11373970232494195</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15.012585474740233</v>
      </c>
      <c r="X107" s="590">
        <f t="shared" si="49"/>
        <v>-104.82182380672207</v>
      </c>
      <c r="Y107" s="593">
        <f t="shared" si="50"/>
        <v>75.178176193277935</v>
      </c>
      <c r="AA107" s="150">
        <f t="shared" si="51"/>
        <v>1000000000</v>
      </c>
      <c r="AB107" s="150">
        <f t="shared" si="52"/>
        <v>28840122.090000004</v>
      </c>
      <c r="AD107" s="592">
        <f t="shared" si="53"/>
        <v>27.858186902473484</v>
      </c>
      <c r="AE107" s="593">
        <f t="shared" si="54"/>
        <v>-15.412989617142566</v>
      </c>
      <c r="AG107" s="592">
        <f t="shared" si="55"/>
        <v>12.575358310616622</v>
      </c>
      <c r="AH107" s="593">
        <f t="shared" si="56"/>
        <v>-81.681341894861816</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5">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1.0066552848338799</v>
      </c>
      <c r="N108" s="585">
        <f t="shared" si="41"/>
        <v>-0.11505287974310792</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14.910710921184734</v>
      </c>
      <c r="X108" s="590">
        <f t="shared" si="49"/>
        <v>-104.92600555572531</v>
      </c>
      <c r="Y108" s="593">
        <f t="shared" si="50"/>
        <v>75.073994444274689</v>
      </c>
      <c r="AA108" s="150">
        <f t="shared" si="51"/>
        <v>1000000000</v>
      </c>
      <c r="AB108" s="150">
        <f t="shared" si="52"/>
        <v>29515859.122500002</v>
      </c>
      <c r="AD108" s="592">
        <f t="shared" si="53"/>
        <v>27.852393275469272</v>
      </c>
      <c r="AE108" s="593">
        <f t="shared" si="54"/>
        <v>-15.277407232066796</v>
      </c>
      <c r="AG108" s="592">
        <f t="shared" si="55"/>
        <v>12.47988727597286</v>
      </c>
      <c r="AH108" s="593">
        <f t="shared" si="56"/>
        <v>-81.831236681343526</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5">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1.0068088943140947</v>
      </c>
      <c r="N109" s="585">
        <f t="shared" si="41"/>
        <v>-0.11636565871985743</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14.810069232746841</v>
      </c>
      <c r="X109" s="590">
        <f t="shared" si="49"/>
        <v>-105.0307909894357</v>
      </c>
      <c r="Y109" s="593">
        <f t="shared" si="50"/>
        <v>74.969209010564299</v>
      </c>
      <c r="AA109" s="150">
        <f t="shared" si="51"/>
        <v>1000000000</v>
      </c>
      <c r="AB109" s="150">
        <f t="shared" si="52"/>
        <v>30199421.159999996</v>
      </c>
      <c r="AD109" s="592">
        <f t="shared" si="53"/>
        <v>27.846785819115741</v>
      </c>
      <c r="AE109" s="593">
        <f t="shared" si="54"/>
        <v>-15.145126155867432</v>
      </c>
      <c r="AG109" s="592">
        <f t="shared" si="55"/>
        <v>12.385469958234834</v>
      </c>
      <c r="AH109" s="593">
        <f t="shared" si="56"/>
        <v>-81.978438549546411</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5">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1.0069678600526404</v>
      </c>
      <c r="N110" s="585">
        <f t="shared" si="41"/>
        <v>-0.11770845289174441</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14.708340324363569</v>
      </c>
      <c r="X110" s="590">
        <f t="shared" si="49"/>
        <v>-105.13861219436319</v>
      </c>
      <c r="Y110" s="593">
        <f t="shared" si="50"/>
        <v>74.861387805636809</v>
      </c>
      <c r="AA110" s="150">
        <f t="shared" si="51"/>
        <v>1000000000</v>
      </c>
      <c r="AB110" s="150">
        <f t="shared" si="52"/>
        <v>30906928.359999996</v>
      </c>
      <c r="AD110" s="592">
        <f t="shared" si="53"/>
        <v>27.841232731703954</v>
      </c>
      <c r="AE110" s="593">
        <f t="shared" si="54"/>
        <v>-15.013087850630567</v>
      </c>
      <c r="AG110" s="592">
        <f t="shared" si="55"/>
        <v>12.289932619654776</v>
      </c>
      <c r="AH110" s="593">
        <f t="shared" si="56"/>
        <v>-82.126355151464836</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5">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1.0071286408760169</v>
      </c>
      <c r="N111" s="585">
        <f t="shared" si="41"/>
        <v>-0.11905082074860038</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14.607841744659076</v>
      </c>
      <c r="X111" s="590">
        <f t="shared" si="49"/>
        <v>-105.24702914748249</v>
      </c>
      <c r="Y111" s="593">
        <f t="shared" si="50"/>
        <v>74.752970852517507</v>
      </c>
      <c r="AA111" s="150">
        <f t="shared" si="51"/>
        <v>1000000000</v>
      </c>
      <c r="AB111" s="150">
        <f t="shared" si="52"/>
        <v>31622627.559999995</v>
      </c>
      <c r="AD111" s="592">
        <f t="shared" si="53"/>
        <v>27.835858068307804</v>
      </c>
      <c r="AE111" s="593">
        <f t="shared" si="54"/>
        <v>-14.884291374875332</v>
      </c>
      <c r="AG111" s="592">
        <f t="shared" si="55"/>
        <v>12.195454534593997</v>
      </c>
      <c r="AH111" s="593">
        <f t="shared" si="56"/>
        <v>-82.271630711991378</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5">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1.0072950684878388</v>
      </c>
      <c r="N112" s="585">
        <f t="shared" si="41"/>
        <v>-0.12042420409833914</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14.506231487523992</v>
      </c>
      <c r="X112" s="590">
        <f t="shared" si="49"/>
        <v>-105.35858577777576</v>
      </c>
      <c r="Y112" s="593">
        <f t="shared" si="50"/>
        <v>74.641414222224242</v>
      </c>
      <c r="AA112" s="150">
        <f t="shared" si="51"/>
        <v>1000000000</v>
      </c>
      <c r="AB112" s="150">
        <f t="shared" si="52"/>
        <v>32363583.209999997</v>
      </c>
      <c r="AD112" s="592">
        <f t="shared" si="53"/>
        <v>27.830534170431282</v>
      </c>
      <c r="AE112" s="593">
        <f t="shared" si="54"/>
        <v>-14.755726718343322</v>
      </c>
      <c r="AG112" s="592">
        <f t="shared" si="55"/>
        <v>12.099836750909112</v>
      </c>
      <c r="AH112" s="593">
        <f t="shared" si="56"/>
        <v>-82.417664614896793</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5">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1.0074633954115011</v>
      </c>
      <c r="N113" s="585">
        <f t="shared" si="41"/>
        <v>-0.12179713110733507</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14.405849742151418</v>
      </c>
      <c r="X113" s="590">
        <f t="shared" si="49"/>
        <v>-105.4707300547305</v>
      </c>
      <c r="Y113" s="593">
        <f t="shared" si="50"/>
        <v>74.529269945269505</v>
      </c>
      <c r="AA113" s="150">
        <f t="shared" si="51"/>
        <v>1000000000</v>
      </c>
      <c r="AB113" s="150">
        <f t="shared" si="52"/>
        <v>33113119.359999996</v>
      </c>
      <c r="AD113" s="592">
        <f t="shared" si="53"/>
        <v>27.825381320452408</v>
      </c>
      <c r="AE113" s="593">
        <f t="shared" si="54"/>
        <v>-14.630346382389121</v>
      </c>
      <c r="AG113" s="592">
        <f t="shared" si="55"/>
        <v>12.005284125239662</v>
      </c>
      <c r="AH113" s="593">
        <f t="shared" si="56"/>
        <v>-82.561107244128195</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5">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1.0076375412112537</v>
      </c>
      <c r="N114" s="585">
        <f t="shared" si="41"/>
        <v>-0.12320102190072008</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14.304410170971323</v>
      </c>
      <c r="X114" s="590">
        <f t="shared" si="49"/>
        <v>-105.58603228690933</v>
      </c>
      <c r="Y114" s="593">
        <f t="shared" si="50"/>
        <v>74.41396771309067</v>
      </c>
      <c r="AA114" s="150">
        <f t="shared" si="51"/>
        <v>1000000000</v>
      </c>
      <c r="AB114" s="150">
        <f t="shared" si="52"/>
        <v>33888697.959999993</v>
      </c>
      <c r="AD114" s="592">
        <f t="shared" si="53"/>
        <v>27.820279742473417</v>
      </c>
      <c r="AE114" s="593">
        <f t="shared" si="54"/>
        <v>-14.505284711367718</v>
      </c>
      <c r="AG114" s="592">
        <f t="shared" si="55"/>
        <v>11.909645847600025</v>
      </c>
      <c r="AH114" s="593">
        <f t="shared" si="56"/>
        <v>-82.705240265502766</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5">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1.0078136722846534</v>
      </c>
      <c r="N115" s="585">
        <f t="shared" si="41"/>
        <v>-0.1246044247558941</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14.204196118744367</v>
      </c>
      <c r="X115" s="590">
        <f t="shared" si="49"/>
        <v>-105.7019130174757</v>
      </c>
      <c r="Y115" s="593">
        <f t="shared" si="50"/>
        <v>74.298086982524296</v>
      </c>
      <c r="AA115" s="150">
        <f t="shared" si="51"/>
        <v>1000000000</v>
      </c>
      <c r="AB115" s="150">
        <f t="shared" si="52"/>
        <v>34673254.559999995</v>
      </c>
      <c r="AD115" s="592">
        <f t="shared" si="53"/>
        <v>27.815341935947711</v>
      </c>
      <c r="AE115" s="593">
        <f t="shared" si="54"/>
        <v>-14.383346965659378</v>
      </c>
      <c r="AG115" s="592">
        <f t="shared" si="55"/>
        <v>11.815077364524342</v>
      </c>
      <c r="AH115" s="593">
        <f t="shared" si="56"/>
        <v>-82.846833640136921</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5">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1.0079960653403348</v>
      </c>
      <c r="N116" s="585">
        <f t="shared" si="41"/>
        <v>-0.12604083064879121</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14.102828703538501</v>
      </c>
      <c r="X116" s="590">
        <f t="shared" si="49"/>
        <v>-105.82114219318046</v>
      </c>
      <c r="Y116" s="593">
        <f t="shared" si="50"/>
        <v>74.178857806819536</v>
      </c>
      <c r="AA116" s="150">
        <f t="shared" si="51"/>
        <v>1000000000</v>
      </c>
      <c r="AB116" s="150">
        <f t="shared" si="52"/>
        <v>35485849</v>
      </c>
      <c r="AD116" s="592">
        <f t="shared" si="53"/>
        <v>27.810448503808711</v>
      </c>
      <c r="AE116" s="593">
        <f t="shared" si="54"/>
        <v>-14.26163094552671</v>
      </c>
      <c r="AG116" s="592">
        <f t="shared" si="55"/>
        <v>11.71933638159496</v>
      </c>
      <c r="AH116" s="593">
        <f t="shared" si="56"/>
        <v>-82.989261878825189</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5">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1.0081805374008679</v>
      </c>
      <c r="N117" s="585">
        <f t="shared" si="41"/>
        <v>-0.12747671385001005</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14.002686259841347</v>
      </c>
      <c r="X117" s="590">
        <f t="shared" si="49"/>
        <v>-105.9409414021343</v>
      </c>
      <c r="Y117" s="593">
        <f t="shared" si="50"/>
        <v>74.0590585978657</v>
      </c>
      <c r="AA117" s="150">
        <f t="shared" si="51"/>
        <v>1000000000</v>
      </c>
      <c r="AB117" s="150">
        <f t="shared" si="52"/>
        <v>36307855.360000007</v>
      </c>
      <c r="AD117" s="592">
        <f t="shared" si="53"/>
        <v>27.805712142185783</v>
      </c>
      <c r="AE117" s="593">
        <f t="shared" si="54"/>
        <v>-14.142984841287962</v>
      </c>
      <c r="AG117" s="592">
        <f t="shared" si="55"/>
        <v>11.624671731779944</v>
      </c>
      <c r="AH117" s="593">
        <f t="shared" si="56"/>
        <v>-83.129196433509037</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5">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1.0083714631314507</v>
      </c>
      <c r="N118" s="585">
        <f t="shared" si="41"/>
        <v>-0.1289455400417639</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13.901446411339954</v>
      </c>
      <c r="X118" s="590">
        <f t="shared" si="49"/>
        <v>-106.06410664914453</v>
      </c>
      <c r="Y118" s="593">
        <f t="shared" si="50"/>
        <v>73.935893350855466</v>
      </c>
      <c r="AA118" s="150">
        <f t="shared" si="51"/>
        <v>1000000000</v>
      </c>
      <c r="AB118" s="150">
        <f t="shared" si="52"/>
        <v>37158777.640000001</v>
      </c>
      <c r="AD118" s="592">
        <f t="shared" si="53"/>
        <v>27.801020816679216</v>
      </c>
      <c r="AE118" s="593">
        <f t="shared" si="54"/>
        <v>-14.024648114607807</v>
      </c>
      <c r="AG118" s="592">
        <f t="shared" si="55"/>
        <v>11.528890661264978</v>
      </c>
      <c r="AH118" s="593">
        <f t="shared" si="56"/>
        <v>-83.269896512215027</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5">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1.0085645635470262</v>
      </c>
      <c r="N119" s="585">
        <f t="shared" si="41"/>
        <v>-0.13041380695542332</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13.801429738447739</v>
      </c>
      <c r="X119" s="590">
        <f t="shared" si="49"/>
        <v>-106.18783242316701</v>
      </c>
      <c r="Y119" s="593">
        <f t="shared" si="50"/>
        <v>73.812167576832991</v>
      </c>
      <c r="AA119" s="150">
        <f t="shared" si="51"/>
        <v>1000000000</v>
      </c>
      <c r="AB119" s="150">
        <f t="shared" si="52"/>
        <v>38019556</v>
      </c>
      <c r="AD119" s="592">
        <f t="shared" si="53"/>
        <v>27.796479935543076</v>
      </c>
      <c r="AE119" s="593">
        <f t="shared" si="54"/>
        <v>-13.909324309949014</v>
      </c>
      <c r="AG119" s="592">
        <f t="shared" si="55"/>
        <v>11.434191147791521</v>
      </c>
      <c r="AH119" s="593">
        <f t="shared" si="56"/>
        <v>-83.408150836012751</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5">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1.00876431340795</v>
      </c>
      <c r="N120" s="585">
        <f t="shared" si="41"/>
        <v>-0.13191495383639656</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13.700369035009487</v>
      </c>
      <c r="X120" s="590">
        <f t="shared" si="49"/>
        <v>-106.31493979514759</v>
      </c>
      <c r="Y120" s="593">
        <f t="shared" si="50"/>
        <v>73.685060204852405</v>
      </c>
      <c r="AA120" s="150">
        <f t="shared" si="51"/>
        <v>1000000000</v>
      </c>
      <c r="AB120" s="150">
        <f t="shared" si="52"/>
        <v>38910148.840000004</v>
      </c>
      <c r="AD120" s="592">
        <f t="shared" si="53"/>
        <v>27.791984372576756</v>
      </c>
      <c r="AE120" s="593">
        <f t="shared" si="54"/>
        <v>-13.794388929212873</v>
      </c>
      <c r="AG120" s="592">
        <f t="shared" si="55"/>
        <v>11.338429106113033</v>
      </c>
      <c r="AH120" s="593">
        <f t="shared" si="56"/>
        <v>-83.547107953387254</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5">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1.008966335557647</v>
      </c>
      <c r="N121" s="585">
        <f t="shared" si="41"/>
        <v>-0.13341550295782911</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13.600528558825788</v>
      </c>
      <c r="X121" s="590">
        <f t="shared" si="49"/>
        <v>-106.4425972403252</v>
      </c>
      <c r="Y121" s="593">
        <f t="shared" si="50"/>
        <v>73.557402759674801</v>
      </c>
      <c r="AA121" s="150">
        <f t="shared" si="51"/>
        <v>1000000000</v>
      </c>
      <c r="AB121" s="150">
        <f t="shared" si="52"/>
        <v>39811052.160000004</v>
      </c>
      <c r="AD121" s="592">
        <f t="shared" si="53"/>
        <v>27.787632730715714</v>
      </c>
      <c r="AE121" s="593">
        <f t="shared" si="54"/>
        <v>-13.68240696383663</v>
      </c>
      <c r="AG121" s="592">
        <f t="shared" si="55"/>
        <v>11.243752598645129</v>
      </c>
      <c r="AH121" s="593">
        <f t="shared" si="56"/>
        <v>-83.683668834056377</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5">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1.0091753500709688</v>
      </c>
      <c r="N122" s="585">
        <f t="shared" si="41"/>
        <v>-0.13494991025867642</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13.499626676915003</v>
      </c>
      <c r="X122" s="590">
        <f t="shared" si="49"/>
        <v>-106.57373936494349</v>
      </c>
      <c r="Y122" s="593">
        <f t="shared" si="50"/>
        <v>73.426260635056508</v>
      </c>
      <c r="AA122" s="150">
        <f t="shared" si="51"/>
        <v>1000000000</v>
      </c>
      <c r="AB122" s="150">
        <f t="shared" si="52"/>
        <v>40743327.302500002</v>
      </c>
      <c r="AD122" s="592">
        <f t="shared" si="53"/>
        <v>27.783323474810157</v>
      </c>
      <c r="AE122" s="593">
        <f t="shared" si="54"/>
        <v>-13.570809495424088</v>
      </c>
      <c r="AG122" s="592">
        <f t="shared" si="55"/>
        <v>11.148000513280692</v>
      </c>
      <c r="AH122" s="593">
        <f t="shared" si="56"/>
        <v>-83.820968537041381</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5">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1.0093867396052862</v>
      </c>
      <c r="N123" s="585">
        <f t="shared" si="41"/>
        <v>-0.13648367848678716</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13.399942651693371</v>
      </c>
      <c r="X123" s="590">
        <f t="shared" si="49"/>
        <v>-106.70542097396638</v>
      </c>
      <c r="Y123" s="593">
        <f t="shared" si="50"/>
        <v>73.294579026033617</v>
      </c>
      <c r="AA123" s="150">
        <f t="shared" si="51"/>
        <v>1000000000</v>
      </c>
      <c r="AB123" s="150">
        <f t="shared" si="52"/>
        <v>41686392.25</v>
      </c>
      <c r="AD123" s="592">
        <f t="shared" si="53"/>
        <v>27.779151926594565</v>
      </c>
      <c r="AE123" s="593">
        <f t="shared" si="54"/>
        <v>-13.462107740226545</v>
      </c>
      <c r="AG123" s="592">
        <f t="shared" si="55"/>
        <v>11.053338228899589</v>
      </c>
      <c r="AH123" s="593">
        <f t="shared" si="56"/>
        <v>-83.955919617250558</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5">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1.0096056246670235</v>
      </c>
      <c r="N124" s="585">
        <f t="shared" si="41"/>
        <v>-0.13805332065779657</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13.299115746806331</v>
      </c>
      <c r="X124" s="590">
        <f t="shared" si="49"/>
        <v>-106.84078082855339</v>
      </c>
      <c r="Y124" s="593">
        <f t="shared" si="50"/>
        <v>73.159219171446608</v>
      </c>
      <c r="AA124" s="150">
        <f t="shared" si="51"/>
        <v>1000000000</v>
      </c>
      <c r="AB124" s="150">
        <f t="shared" si="52"/>
        <v>42663104.890000001</v>
      </c>
      <c r="AD124" s="592">
        <f t="shared" si="53"/>
        <v>27.775017385272896</v>
      </c>
      <c r="AE124" s="593">
        <f t="shared" si="54"/>
        <v>-13.353719556681536</v>
      </c>
      <c r="AG124" s="592">
        <f t="shared" si="55"/>
        <v>10.957526311363857</v>
      </c>
      <c r="AH124" s="593">
        <f t="shared" si="56"/>
        <v>-84.091731339893542</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5">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1.0098269960895134</v>
      </c>
      <c r="N125" s="585">
        <f t="shared" si="41"/>
        <v>-0.13962227850791389</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13.199506434065203</v>
      </c>
      <c r="X125" s="590">
        <f t="shared" si="49"/>
        <v>-106.97667010599062</v>
      </c>
      <c r="Y125" s="593">
        <f t="shared" si="50"/>
        <v>73.023329894009379</v>
      </c>
      <c r="AA125" s="150">
        <f t="shared" si="51"/>
        <v>1000000000</v>
      </c>
      <c r="AB125" s="150">
        <f t="shared" si="52"/>
        <v>43651127.609999992</v>
      </c>
      <c r="AD125" s="592">
        <f t="shared" si="53"/>
        <v>27.771014795507433</v>
      </c>
      <c r="AE125" s="593">
        <f t="shared" si="54"/>
        <v>-13.248174701181737</v>
      </c>
      <c r="AG125" s="592">
        <f t="shared" si="55"/>
        <v>10.862810146237434</v>
      </c>
      <c r="AH125" s="593">
        <f t="shared" si="56"/>
        <v>-84.225237312552807</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5">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1.010056091227254</v>
      </c>
      <c r="N126" s="585">
        <f t="shared" si="41"/>
        <v>-0.14122703203045134</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13.098810018352612</v>
      </c>
      <c r="X126" s="590">
        <f t="shared" si="49"/>
        <v>-107.11625172843817</v>
      </c>
      <c r="Y126" s="593">
        <f t="shared" si="50"/>
        <v>72.883748271561828</v>
      </c>
      <c r="AA126" s="150">
        <f t="shared" si="51"/>
        <v>1000000000</v>
      </c>
      <c r="AB126" s="150">
        <f t="shared" si="52"/>
        <v>44673850.822500005</v>
      </c>
      <c r="AD126" s="592">
        <f t="shared" si="53"/>
        <v>27.767049633874379</v>
      </c>
      <c r="AE126" s="593">
        <f t="shared" si="54"/>
        <v>-13.143022035868446</v>
      </c>
      <c r="AG126" s="592">
        <f t="shared" si="55"/>
        <v>10.767000638963582</v>
      </c>
      <c r="AH126" s="593">
        <f t="shared" si="56"/>
        <v>-84.35954035224205</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5">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1.0102877863120667</v>
      </c>
      <c r="N127" s="585">
        <f t="shared" si="41"/>
        <v>-0.14283105362751453</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12.999329695799364</v>
      </c>
      <c r="X127" s="590">
        <f t="shared" si="49"/>
        <v>-107.25635177407082</v>
      </c>
      <c r="Y127" s="593">
        <f t="shared" si="50"/>
        <v>72.743648225929178</v>
      </c>
      <c r="AA127" s="150">
        <f t="shared" si="51"/>
        <v>1000000000</v>
      </c>
      <c r="AB127" s="150">
        <f t="shared" si="52"/>
        <v>45708416.640000001</v>
      </c>
      <c r="AD127" s="592">
        <f t="shared" si="53"/>
        <v>27.763210742116943</v>
      </c>
      <c r="AE127" s="593">
        <f t="shared" si="54"/>
        <v>-13.040657738062333</v>
      </c>
      <c r="AG127" s="592">
        <f t="shared" si="55"/>
        <v>10.672291536789185</v>
      </c>
      <c r="AH127" s="593">
        <f t="shared" si="56"/>
        <v>-84.49158218206702</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5">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1.0105275911833893</v>
      </c>
      <c r="N128" s="585">
        <f t="shared" si="41"/>
        <v>-0.14447183030630648</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12.898752032617647</v>
      </c>
      <c r="X128" s="590">
        <f t="shared" si="49"/>
        <v>-107.40024783503326</v>
      </c>
      <c r="Y128" s="593">
        <f t="shared" si="50"/>
        <v>72.599752164966745</v>
      </c>
      <c r="AA128" s="150">
        <f t="shared" si="51"/>
        <v>1000000000</v>
      </c>
      <c r="AB128" s="150">
        <f t="shared" si="52"/>
        <v>46779444.202500001</v>
      </c>
      <c r="AD128" s="592">
        <f t="shared" si="53"/>
        <v>27.759407011779484</v>
      </c>
      <c r="AE128" s="593">
        <f t="shared" si="54"/>
        <v>-12.938692522580867</v>
      </c>
      <c r="AG128" s="592">
        <f t="shared" si="55"/>
        <v>10.576482694147135</v>
      </c>
      <c r="AH128" s="593">
        <f t="shared" si="56"/>
        <v>-84.624447108388239</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5">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1.0107701152495145</v>
      </c>
      <c r="N129" s="585">
        <f t="shared" si="41"/>
        <v>-0.14611182402290968</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12.799389346777438</v>
      </c>
      <c r="X129" s="590">
        <f t="shared" si="49"/>
        <v>-107.54465110144602</v>
      </c>
      <c r="Y129" s="593">
        <f t="shared" si="50"/>
        <v>72.455348898553979</v>
      </c>
      <c r="AA129" s="150">
        <f t="shared" si="51"/>
        <v>1000000000</v>
      </c>
      <c r="AB129" s="150">
        <f t="shared" si="52"/>
        <v>47862874.890000001</v>
      </c>
      <c r="AD129" s="592">
        <f t="shared" si="53"/>
        <v>27.755724116855411</v>
      </c>
      <c r="AE129" s="593">
        <f t="shared" si="54"/>
        <v>-12.839461986451575</v>
      </c>
      <c r="AG129" s="592">
        <f t="shared" si="55"/>
        <v>10.481779069398659</v>
      </c>
      <c r="AH129" s="593">
        <f t="shared" si="56"/>
        <v>-84.755093917684235</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5">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1.0110211504284365</v>
      </c>
      <c r="N130" s="585">
        <f t="shared" si="41"/>
        <v>-0.14778952519260696</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12.698921209122787</v>
      </c>
      <c r="X130" s="590">
        <f t="shared" si="49"/>
        <v>-107.69295407330605</v>
      </c>
      <c r="Y130" s="593">
        <f t="shared" si="50"/>
        <v>72.307045926693945</v>
      </c>
      <c r="AA130" s="150">
        <f t="shared" si="51"/>
        <v>1000000000</v>
      </c>
      <c r="AB130" s="150">
        <f t="shared" si="52"/>
        <v>48984601.209999993</v>
      </c>
      <c r="AD130" s="592">
        <f t="shared" si="53"/>
        <v>27.752074289286995</v>
      </c>
      <c r="AE130" s="593">
        <f t="shared" si="54"/>
        <v>-12.740640285347441</v>
      </c>
      <c r="AG130" s="592">
        <f t="shared" si="55"/>
        <v>10.38597132336135</v>
      </c>
      <c r="AH130" s="593">
        <f t="shared" si="56"/>
        <v>-84.886587099172999</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5">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1.0112750298921143</v>
      </c>
      <c r="N131" s="585">
        <f t="shared" si="41"/>
        <v>-0.1494663887101764</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12.599667260145575</v>
      </c>
      <c r="X131" s="590">
        <f t="shared" si="49"/>
        <v>-107.84175278944231</v>
      </c>
      <c r="Y131" s="593">
        <f t="shared" si="50"/>
        <v>72.15824721055769</v>
      </c>
      <c r="AA131" s="150">
        <f t="shared" si="51"/>
        <v>1000000000</v>
      </c>
      <c r="AB131" s="150">
        <f t="shared" si="52"/>
        <v>50119320.25</v>
      </c>
      <c r="AD131" s="592">
        <f t="shared" si="53"/>
        <v>27.748540092993039</v>
      </c>
      <c r="AE131" s="593">
        <f t="shared" si="54"/>
        <v>-12.644500706923518</v>
      </c>
      <c r="AG131" s="592">
        <f t="shared" si="55"/>
        <v>10.291273729858862</v>
      </c>
      <c r="AH131" s="593">
        <f t="shared" si="56"/>
        <v>-85.015903927695049</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5">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1.0115376773416158</v>
      </c>
      <c r="N132" s="585">
        <f t="shared" si="41"/>
        <v>-0.15118086514745591</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12.499362209049515</v>
      </c>
      <c r="X132" s="590">
        <f t="shared" si="49"/>
        <v>-107.99446207602638</v>
      </c>
      <c r="Y132" s="593">
        <f t="shared" si="50"/>
        <v>72.00553792397362</v>
      </c>
      <c r="AA132" s="150">
        <f t="shared" si="51"/>
        <v>1000000000</v>
      </c>
      <c r="AB132" s="150">
        <f t="shared" si="52"/>
        <v>51293527.802499995</v>
      </c>
      <c r="AD132" s="592">
        <f t="shared" si="53"/>
        <v>27.745039109380095</v>
      </c>
      <c r="AE132" s="593">
        <f t="shared" si="54"/>
        <v>-12.548839429235841</v>
      </c>
      <c r="AG132" s="592">
        <f t="shared" si="55"/>
        <v>10.195527276488242</v>
      </c>
      <c r="AH132" s="593">
        <f t="shared" si="56"/>
        <v>-85.146009674479444</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5">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1.0118032965860013</v>
      </c>
      <c r="N133" s="585">
        <f t="shared" si="41"/>
        <v>-0.15289444644860664</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12.400269380008098</v>
      </c>
      <c r="X133" s="590">
        <f t="shared" si="49"/>
        <v>-108.14765480204488</v>
      </c>
      <c r="Y133" s="593">
        <f t="shared" si="50"/>
        <v>71.852345197955117</v>
      </c>
      <c r="AA133" s="150">
        <f t="shared" si="51"/>
        <v>1000000000</v>
      </c>
      <c r="AB133" s="150">
        <f t="shared" si="52"/>
        <v>52481331.359999992</v>
      </c>
      <c r="AD133" s="592">
        <f t="shared" si="53"/>
        <v>27.741648637141783</v>
      </c>
      <c r="AE133" s="593">
        <f t="shared" si="54"/>
        <v>-12.455805590903084</v>
      </c>
      <c r="AG133" s="592">
        <f t="shared" si="55"/>
        <v>10.100894659283917</v>
      </c>
      <c r="AH133" s="593">
        <f t="shared" si="56"/>
        <v>-85.273982151548935</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5">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1.0120781096998936</v>
      </c>
      <c r="N134" s="585">
        <f t="shared" si="41"/>
        <v>-0.15464657990859496</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12.300118322500705</v>
      </c>
      <c r="X134" s="590">
        <f t="shared" si="49"/>
        <v>-108.30486042578249</v>
      </c>
      <c r="Y134" s="593">
        <f t="shared" si="50"/>
        <v>71.695139574217507</v>
      </c>
      <c r="AA134" s="150">
        <f t="shared" si="51"/>
        <v>1000000000</v>
      </c>
      <c r="AB134" s="150">
        <f t="shared" si="52"/>
        <v>53710576.5625</v>
      </c>
      <c r="AD134" s="592">
        <f t="shared" si="53"/>
        <v>27.7382893082208</v>
      </c>
      <c r="AE134" s="593">
        <f t="shared" si="54"/>
        <v>-12.363258288934896</v>
      </c>
      <c r="AG134" s="592">
        <f t="shared" si="55"/>
        <v>10.00520986519469</v>
      </c>
      <c r="AH134" s="593">
        <f t="shared" si="56"/>
        <v>-85.402767140929384</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5">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1.0123560281724657</v>
      </c>
      <c r="N135" s="585">
        <f t="shared" si="41"/>
        <v>-0.15639775672835954</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12.201177850662843</v>
      </c>
      <c r="X135" s="590">
        <f t="shared" si="49"/>
        <v>-108.46253696912807</v>
      </c>
      <c r="Y135" s="593">
        <f t="shared" si="50"/>
        <v>71.537463030871933</v>
      </c>
      <c r="AA135" s="150">
        <f t="shared" si="51"/>
        <v>1000000000</v>
      </c>
      <c r="AB135" s="150">
        <f t="shared" si="52"/>
        <v>54954051.610000007</v>
      </c>
      <c r="AD135" s="592">
        <f t="shared" si="53"/>
        <v>27.735035595587508</v>
      </c>
      <c r="AE135" s="593">
        <f t="shared" si="54"/>
        <v>-12.273285010978471</v>
      </c>
      <c r="AG135" s="592">
        <f t="shared" si="55"/>
        <v>9.9106427224598281</v>
      </c>
      <c r="AH135" s="593">
        <f t="shared" si="56"/>
        <v>-85.529460512144752</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5">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1.0126437503021815</v>
      </c>
      <c r="N136" s="585">
        <f t="shared" si="41"/>
        <v>-0.15818945390809477</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12.101116316022749</v>
      </c>
      <c r="X136" s="590">
        <f t="shared" si="49"/>
        <v>-108.62442246072027</v>
      </c>
      <c r="Y136" s="593">
        <f t="shared" si="50"/>
        <v>71.375577539279732</v>
      </c>
      <c r="AA136" s="150">
        <f t="shared" si="51"/>
        <v>1000000000</v>
      </c>
      <c r="AB136" s="150">
        <f t="shared" si="52"/>
        <v>56241750.302499995</v>
      </c>
      <c r="AD136" s="592">
        <f t="shared" si="53"/>
        <v>27.731809259713202</v>
      </c>
      <c r="AE136" s="593">
        <f t="shared" si="54"/>
        <v>-12.183757714892817</v>
      </c>
      <c r="AG136" s="592">
        <f t="shared" si="55"/>
        <v>9.8149668189488803</v>
      </c>
      <c r="AH136" s="593">
        <f t="shared" si="56"/>
        <v>-85.657060916996031</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5">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1.0129347213465465</v>
      </c>
      <c r="N137" s="585">
        <f t="shared" si="41"/>
        <v>-0.15998012748382615</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12.002265397013334</v>
      </c>
      <c r="X137" s="590">
        <f t="shared" si="49"/>
        <v>-108.78676663282101</v>
      </c>
      <c r="Y137" s="593">
        <f t="shared" si="50"/>
        <v>71.213233367178987</v>
      </c>
      <c r="AA137" s="150">
        <f t="shared" si="51"/>
        <v>1000000000</v>
      </c>
      <c r="AB137" s="150">
        <f t="shared" si="52"/>
        <v>57544361.640000001</v>
      </c>
      <c r="AD137" s="592">
        <f t="shared" si="53"/>
        <v>27.728683969515181</v>
      </c>
      <c r="AE137" s="593">
        <f t="shared" si="54"/>
        <v>-12.096755050576695</v>
      </c>
      <c r="AG137" s="592">
        <f t="shared" si="55"/>
        <v>9.7204137662442598</v>
      </c>
      <c r="AH137" s="593">
        <f t="shared" si="56"/>
        <v>-85.782607681884315</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5">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1.0132357914732715</v>
      </c>
      <c r="N138" s="585">
        <f t="shared" si="41"/>
        <v>-0.16181120534519802</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11.902348906594291</v>
      </c>
      <c r="X138" s="590">
        <f t="shared" si="49"/>
        <v>-108.95332833677941</v>
      </c>
      <c r="Y138" s="593">
        <f t="shared" si="50"/>
        <v>71.046671663220593</v>
      </c>
      <c r="AA138" s="150">
        <f t="shared" si="51"/>
        <v>1000000000</v>
      </c>
      <c r="AB138" s="150">
        <f t="shared" si="52"/>
        <v>58892578.222499996</v>
      </c>
      <c r="AD138" s="592">
        <f t="shared" si="53"/>
        <v>27.725586200496068</v>
      </c>
      <c r="AE138" s="593">
        <f t="shared" si="54"/>
        <v>-12.010264864236431</v>
      </c>
      <c r="AG138" s="592">
        <f t="shared" si="55"/>
        <v>9.624808520279549</v>
      </c>
      <c r="AH138" s="593">
        <f t="shared" si="56"/>
        <v>-85.909004985549856</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5">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1.0135402567987841</v>
      </c>
      <c r="N139" s="585">
        <f t="shared" si="41"/>
        <v>-0.16364118923542131</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11.803641847689866</v>
      </c>
      <c r="X139" s="590">
        <f t="shared" si="49"/>
        <v>-109.12033565020393</v>
      </c>
      <c r="Y139" s="593">
        <f t="shared" si="50"/>
        <v>70.879664349796073</v>
      </c>
      <c r="AA139" s="150">
        <f t="shared" si="51"/>
        <v>1000000000</v>
      </c>
      <c r="AB139" s="150">
        <f t="shared" si="52"/>
        <v>60256406.25</v>
      </c>
      <c r="AD139" s="592">
        <f t="shared" si="53"/>
        <v>27.722584976609252</v>
      </c>
      <c r="AE139" s="593">
        <f t="shared" si="54"/>
        <v>-11.926247871301943</v>
      </c>
      <c r="AG139" s="592">
        <f t="shared" si="55"/>
        <v>9.5303300533151987</v>
      </c>
      <c r="AH139" s="593">
        <f t="shared" si="56"/>
        <v>-86.033387886460588</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5">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1.0138552977758171</v>
      </c>
      <c r="N140" s="585">
        <f t="shared" si="41"/>
        <v>-0.16551249045991859</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11.703867368858415</v>
      </c>
      <c r="X140" s="590">
        <f t="shared" si="49"/>
        <v>-109.29166209437338</v>
      </c>
      <c r="Y140" s="593">
        <f t="shared" si="50"/>
        <v>70.708337905626621</v>
      </c>
      <c r="AA140" s="150">
        <f t="shared" si="51"/>
        <v>1000000000</v>
      </c>
      <c r="AB140" s="150">
        <f t="shared" si="52"/>
        <v>61668038.409999996</v>
      </c>
      <c r="AD140" s="592">
        <f t="shared" si="53"/>
        <v>27.719609567454206</v>
      </c>
      <c r="AE140" s="593">
        <f t="shared" si="54"/>
        <v>-11.842757521691503</v>
      </c>
      <c r="AG140" s="592">
        <f t="shared" si="55"/>
        <v>9.4348012047395997</v>
      </c>
      <c r="AH140" s="593">
        <f t="shared" si="56"/>
        <v>-86.158638590692107</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5">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1.0141738868262073</v>
      </c>
      <c r="N141" s="585">
        <f t="shared" ref="N141:N204" si="74">-ATAN(G141/z_RHP)</f>
        <v>-0.16738262254168371</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11.605301334164807</v>
      </c>
      <c r="X141" s="590">
        <f t="shared" ref="X141:X204" si="82">((L141+R141+N141+V141)-(J141+P141+T141))*radconv</f>
        <v>-109.46342078990433</v>
      </c>
      <c r="Y141" s="593">
        <f t="shared" ref="Y141:Y204" si="83">IF(X141&gt;0,X141,X141+180)</f>
        <v>70.536579210095667</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9.3404031026720524</v>
      </c>
      <c r="AH141" s="593">
        <f t="shared" ref="AH141:AH204" si="89">(L141+N141-(J141+V141))*radconv</f>
        <v>-86.281912938425478</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5">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1.0145035459051661</v>
      </c>
      <c r="N142" s="585">
        <f t="shared" si="74"/>
        <v>-0.16929497527045501</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11.505667596427793</v>
      </c>
      <c r="X142" s="590">
        <f t="shared" si="82"/>
        <v>-109.63959982421969</v>
      </c>
      <c r="Y142" s="593">
        <f t="shared" si="83"/>
        <v>70.360400175780313</v>
      </c>
      <c r="AA142" s="150">
        <f t="shared" si="84"/>
        <v>1000000000</v>
      </c>
      <c r="AB142" s="150">
        <f t="shared" si="85"/>
        <v>64574081.640000001</v>
      </c>
      <c r="AD142" s="592">
        <f t="shared" si="86"/>
        <v>27.713867413960568</v>
      </c>
      <c r="AE142" s="593">
        <f t="shared" si="87"/>
        <v>-11.681164586867085</v>
      </c>
      <c r="AG142" s="592">
        <f t="shared" si="88"/>
        <v>9.2449579767738523</v>
      </c>
      <c r="AH142" s="593">
        <f t="shared" si="89"/>
        <v>-86.406070572909584</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5">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1.0148369126995922</v>
      </c>
      <c r="N143" s="585">
        <f t="shared" si="74"/>
        <v>-0.17120607859563591</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11.407241473849002</v>
      </c>
      <c r="X143" s="590">
        <f t="shared" si="82"/>
        <v>-109.81619744167314</v>
      </c>
      <c r="Y143" s="593">
        <f t="shared" si="83"/>
        <v>70.18380255832686</v>
      </c>
      <c r="AA143" s="150">
        <f t="shared" si="84"/>
        <v>1000000000</v>
      </c>
      <c r="AB143" s="150">
        <f t="shared" si="85"/>
        <v>66069260.890000001</v>
      </c>
      <c r="AD143" s="592">
        <f t="shared" si="86"/>
        <v>27.711096530871401</v>
      </c>
      <c r="AE143" s="593">
        <f t="shared" si="87"/>
        <v>-11.603012416854828</v>
      </c>
      <c r="AG143" s="592">
        <f t="shared" si="88"/>
        <v>9.1506475775370983</v>
      </c>
      <c r="AH143" s="593">
        <f t="shared" si="89"/>
        <v>-86.528288765849297</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5">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1.0151818621950104</v>
      </c>
      <c r="N144" s="585">
        <f t="shared" si="74"/>
        <v>-0.17316029558807866</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11.307748835656211</v>
      </c>
      <c r="X144" s="590">
        <f t="shared" si="82"/>
        <v>-109.99731613874251</v>
      </c>
      <c r="Y144" s="593">
        <f t="shared" si="83"/>
        <v>70.002683861257495</v>
      </c>
      <c r="AA144" s="150">
        <f t="shared" si="84"/>
        <v>1000000000</v>
      </c>
      <c r="AB144" s="150">
        <f t="shared" si="85"/>
        <v>67616906.702500015</v>
      </c>
      <c r="AD144" s="592">
        <f t="shared" si="86"/>
        <v>27.708348321867511</v>
      </c>
      <c r="AE144" s="593">
        <f t="shared" si="87"/>
        <v>-11.525419539483751</v>
      </c>
      <c r="AG144" s="592">
        <f t="shared" si="88"/>
        <v>9.0552949780417951</v>
      </c>
      <c r="AH144" s="593">
        <f t="shared" si="89"/>
        <v>-86.651404100805223</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5">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1.0153557900539736</v>
      </c>
      <c r="N145" s="585">
        <f t="shared" si="74"/>
        <v>-0.1741369042861001</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11.258456853621935</v>
      </c>
      <c r="X145" s="590">
        <f t="shared" si="82"/>
        <v>-110.0880282246622</v>
      </c>
      <c r="Y145" s="593">
        <f t="shared" si="83"/>
        <v>69.911971775337804</v>
      </c>
      <c r="AA145" s="150">
        <f t="shared" si="84"/>
        <v>1000000000</v>
      </c>
      <c r="AB145" s="150">
        <f t="shared" si="85"/>
        <v>68397448.575625017</v>
      </c>
      <c r="AD145" s="592">
        <f t="shared" si="86"/>
        <v>27.707006002818098</v>
      </c>
      <c r="AE145" s="593">
        <f t="shared" si="87"/>
        <v>-11.487499563390196</v>
      </c>
      <c r="AG145" s="592">
        <f t="shared" si="88"/>
        <v>9.0080471946120664</v>
      </c>
      <c r="AH145" s="593">
        <f t="shared" si="89"/>
        <v>-86.712244099492054</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5">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1.0155306859910402</v>
      </c>
      <c r="N146" s="585">
        <f t="shared" si="74"/>
        <v>-0.17511317752950037</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11.209463106854702</v>
      </c>
      <c r="X146" s="590">
        <f t="shared" si="82"/>
        <v>-110.17883941812167</v>
      </c>
      <c r="Y146" s="593">
        <f t="shared" si="83"/>
        <v>69.821160581878331</v>
      </c>
      <c r="AA146" s="150">
        <f t="shared" si="84"/>
        <v>1000000000</v>
      </c>
      <c r="AB146" s="150">
        <f t="shared" si="85"/>
        <v>69182469.760000005</v>
      </c>
      <c r="AD146" s="592">
        <f t="shared" si="86"/>
        <v>27.70568423202554</v>
      </c>
      <c r="AE146" s="593">
        <f t="shared" si="87"/>
        <v>-11.450151033761774</v>
      </c>
      <c r="AG146" s="592">
        <f t="shared" si="88"/>
        <v>8.9610810734803401</v>
      </c>
      <c r="AH146" s="593">
        <f t="shared" si="89"/>
        <v>-86.772615827031032</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5">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1.0157107418666165</v>
      </c>
      <c r="N147" s="585">
        <f t="shared" si="74"/>
        <v>-0.17611230926358887</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11.159610078842681</v>
      </c>
      <c r="X147" s="590">
        <f t="shared" si="82"/>
        <v>-110.2719099490897</v>
      </c>
      <c r="Y147" s="593">
        <f t="shared" si="83"/>
        <v>69.728090050910296</v>
      </c>
      <c r="AA147" s="150">
        <f t="shared" si="84"/>
        <v>1000000000</v>
      </c>
      <c r="AB147" s="150">
        <f t="shared" si="85"/>
        <v>69990792.602499992</v>
      </c>
      <c r="AD147" s="592">
        <f t="shared" si="86"/>
        <v>27.704351841715148</v>
      </c>
      <c r="AE147" s="593">
        <f t="shared" si="87"/>
        <v>-11.412496849063368</v>
      </c>
      <c r="AG147" s="592">
        <f t="shared" si="88"/>
        <v>8.9132871872813357</v>
      </c>
      <c r="AH147" s="593">
        <f t="shared" si="89"/>
        <v>-86.8339453426848</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5">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1.0158918113298734</v>
      </c>
      <c r="N148" s="585">
        <f t="shared" si="74"/>
        <v>-0.17711108583002866</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11.110062453566814</v>
      </c>
      <c r="X148" s="590">
        <f t="shared" si="82"/>
        <v>-110.36508017783007</v>
      </c>
      <c r="Y148" s="593">
        <f t="shared" si="83"/>
        <v>69.634919822169934</v>
      </c>
      <c r="AA148" s="150">
        <f t="shared" si="84"/>
        <v>1000000000</v>
      </c>
      <c r="AB148" s="150">
        <f t="shared" si="85"/>
        <v>70803810.25</v>
      </c>
      <c r="AD148" s="592">
        <f t="shared" si="86"/>
        <v>27.70304001580039</v>
      </c>
      <c r="AE148" s="593">
        <f t="shared" si="87"/>
        <v>-11.375421916279153</v>
      </c>
      <c r="AG148" s="592">
        <f t="shared" si="88"/>
        <v>8.8657823040534538</v>
      </c>
      <c r="AH148" s="593">
        <f t="shared" si="89"/>
        <v>-86.894799615621125</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5">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1.016073893838932</v>
      </c>
      <c r="N149" s="585">
        <f t="shared" si="74"/>
        <v>-0.17810950542656423</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11.060816694244441</v>
      </c>
      <c r="X149" s="590">
        <f t="shared" si="82"/>
        <v>-110.45834805201031</v>
      </c>
      <c r="Y149" s="593">
        <f t="shared" si="83"/>
        <v>69.541651947989692</v>
      </c>
      <c r="AA149" s="150">
        <f t="shared" si="84"/>
        <v>1000000000</v>
      </c>
      <c r="AB149" s="150">
        <f t="shared" si="85"/>
        <v>71621522.702500015</v>
      </c>
      <c r="AD149" s="592">
        <f t="shared" si="86"/>
        <v>27.701748282677595</v>
      </c>
      <c r="AE149" s="593">
        <f t="shared" si="87"/>
        <v>-11.338916601306835</v>
      </c>
      <c r="AG149" s="592">
        <f t="shared" si="88"/>
        <v>8.8185633576469904</v>
      </c>
      <c r="AH149" s="593">
        <f t="shared" si="89"/>
        <v>-86.955186251849199</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5">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1.0162569888492703</v>
      </c>
      <c r="N150" s="585">
        <f t="shared" si="74"/>
        <v>-0.1791075662550749</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11.011869326335219</v>
      </c>
      <c r="X150" s="590">
        <f t="shared" si="82"/>
        <v>-110.55171155904219</v>
      </c>
      <c r="Y150" s="593">
        <f t="shared" si="83"/>
        <v>69.448288440957811</v>
      </c>
      <c r="AA150" s="150">
        <f t="shared" si="84"/>
        <v>1000000000</v>
      </c>
      <c r="AB150" s="150">
        <f t="shared" si="85"/>
        <v>72443929.959999993</v>
      </c>
      <c r="AD150" s="592">
        <f t="shared" si="86"/>
        <v>27.700476183810419</v>
      </c>
      <c r="AE150" s="593">
        <f t="shared" si="87"/>
        <v>-11.302971480571923</v>
      </c>
      <c r="AG150" s="592">
        <f t="shared" si="88"/>
        <v>8.7716273310821933</v>
      </c>
      <c r="AH150" s="593">
        <f t="shared" si="89"/>
        <v>-87.015112686579457</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5">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1.0164452874889398</v>
      </c>
      <c r="N151" s="585">
        <f t="shared" si="74"/>
        <v>-0.18012791392721605</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10.962115739263504</v>
      </c>
      <c r="X151" s="590">
        <f t="shared" si="82"/>
        <v>-110.64729163175409</v>
      </c>
      <c r="Y151" s="593">
        <f t="shared" si="83"/>
        <v>69.352708368245914</v>
      </c>
      <c r="AA151" s="150">
        <f t="shared" si="84"/>
        <v>1000000000</v>
      </c>
      <c r="AB151" s="150">
        <f t="shared" si="85"/>
        <v>73289864.902500018</v>
      </c>
      <c r="AD151" s="592">
        <f t="shared" si="86"/>
        <v>27.699195046799154</v>
      </c>
      <c r="AE151" s="593">
        <f t="shared" si="87"/>
        <v>-11.266780078764606</v>
      </c>
      <c r="AG151" s="592">
        <f t="shared" si="88"/>
        <v>8.7239152116233356</v>
      </c>
      <c r="AH151" s="593">
        <f t="shared" si="89"/>
        <v>-87.075931262080871</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5">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1.0166346439666756</v>
      </c>
      <c r="N152" s="585">
        <f t="shared" si="74"/>
        <v>-0.18114788256480838</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10.912667088976617</v>
      </c>
      <c r="X152" s="590">
        <f t="shared" si="82"/>
        <v>-110.74296759434861</v>
      </c>
      <c r="Y152" s="593">
        <f t="shared" si="83"/>
        <v>69.257032405651387</v>
      </c>
      <c r="AA152" s="150">
        <f t="shared" si="84"/>
        <v>1000000000</v>
      </c>
      <c r="AB152" s="150">
        <f t="shared" si="85"/>
        <v>74140710.25</v>
      </c>
      <c r="AD152" s="592">
        <f t="shared" si="86"/>
        <v>27.69793351563489</v>
      </c>
      <c r="AE152" s="593">
        <f t="shared" si="87"/>
        <v>-11.231155310406276</v>
      </c>
      <c r="AG152" s="592">
        <f t="shared" si="88"/>
        <v>8.6764927748680361</v>
      </c>
      <c r="AH152" s="593">
        <f t="shared" si="89"/>
        <v>-87.136283705335927</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5">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1.0168250576914961</v>
      </c>
      <c r="N153" s="585">
        <f t="shared" si="74"/>
        <v>-0.18216747025798216</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10.863519851477609</v>
      </c>
      <c r="X153" s="590">
        <f t="shared" si="82"/>
        <v>-110.83873741676722</v>
      </c>
      <c r="Y153" s="593">
        <f t="shared" si="83"/>
        <v>69.161262583232784</v>
      </c>
      <c r="AA153" s="150">
        <f t="shared" si="84"/>
        <v>1000000000</v>
      </c>
      <c r="AB153" s="150">
        <f t="shared" si="85"/>
        <v>74996466.002499983</v>
      </c>
      <c r="AD153" s="592">
        <f t="shared" si="86"/>
        <v>27.69669113949675</v>
      </c>
      <c r="AE153" s="593">
        <f t="shared" si="87"/>
        <v>-11.196087742276855</v>
      </c>
      <c r="AG153" s="592">
        <f t="shared" si="88"/>
        <v>8.6293569465790441</v>
      </c>
      <c r="AH153" s="593">
        <f t="shared" si="89"/>
        <v>-87.196177445381096</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5">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1.0170165280695627</v>
      </c>
      <c r="N154" s="585">
        <f t="shared" si="74"/>
        <v>-0.18318667510146219</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10.814670564671173</v>
      </c>
      <c r="X154" s="590">
        <f t="shared" si="82"/>
        <v>-110.93459910831679</v>
      </c>
      <c r="Y154" s="593">
        <f t="shared" si="83"/>
        <v>69.065400891683211</v>
      </c>
      <c r="AA154" s="150">
        <f t="shared" si="84"/>
        <v>1000000000</v>
      </c>
      <c r="AB154" s="150">
        <f t="shared" si="85"/>
        <v>75857132.160000011</v>
      </c>
      <c r="AD154" s="592">
        <f t="shared" si="86"/>
        <v>27.69546748006168</v>
      </c>
      <c r="AE154" s="593">
        <f t="shared" si="87"/>
        <v>-11.161568147553679</v>
      </c>
      <c r="AG154" s="592">
        <f t="shared" si="88"/>
        <v>8.5825047019171627</v>
      </c>
      <c r="AH154" s="593">
        <f t="shared" si="89"/>
        <v>-87.25561974420485</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5">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1.0172136327779255</v>
      </c>
      <c r="N155" s="585">
        <f t="shared" si="74"/>
        <v>-0.1842296502185749</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10.764967975698278</v>
      </c>
      <c r="X155" s="590">
        <f t="shared" si="82"/>
        <v>-111.0328271332136</v>
      </c>
      <c r="Y155" s="593">
        <f t="shared" si="83"/>
        <v>68.967172866786399</v>
      </c>
      <c r="AA155" s="150">
        <f t="shared" si="84"/>
        <v>1000000000</v>
      </c>
      <c r="AB155" s="150">
        <f t="shared" si="85"/>
        <v>76743294.105625018</v>
      </c>
      <c r="AD155" s="592">
        <f t="shared" si="86"/>
        <v>27.694233746261183</v>
      </c>
      <c r="AE155" s="593">
        <f t="shared" si="87"/>
        <v>-11.126788171841484</v>
      </c>
      <c r="AG155" s="592">
        <f t="shared" si="88"/>
        <v>8.5348320734612901</v>
      </c>
      <c r="AH155" s="593">
        <f t="shared" si="89"/>
        <v>-87.316011408518577</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5">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1.0174118435788848</v>
      </c>
      <c r="N156" s="585">
        <f t="shared" si="74"/>
        <v>-0.18527222008741798</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10.715570485834609</v>
      </c>
      <c r="X156" s="590">
        <f t="shared" si="82"/>
        <v>-111.13114733628582</v>
      </c>
      <c r="Y156" s="593">
        <f t="shared" si="83"/>
        <v>68.868852663714179</v>
      </c>
      <c r="AA156" s="150">
        <f t="shared" si="84"/>
        <v>1000000000</v>
      </c>
      <c r="AB156" s="150">
        <f t="shared" si="85"/>
        <v>77634602.102499992</v>
      </c>
      <c r="AD156" s="592">
        <f t="shared" si="86"/>
        <v>27.693018736120329</v>
      </c>
      <c r="AE156" s="593">
        <f t="shared" si="87"/>
        <v>-11.092563536633934</v>
      </c>
      <c r="AG156" s="592">
        <f t="shared" si="88"/>
        <v>8.4874503765463238</v>
      </c>
      <c r="AH156" s="593">
        <f t="shared" si="89"/>
        <v>-87.375944852130644</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5">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1.0176111598261044</v>
      </c>
      <c r="N157" s="585">
        <f t="shared" si="74"/>
        <v>-0.18631438267901329</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10.666474573036025</v>
      </c>
      <c r="X157" s="590">
        <f t="shared" si="82"/>
        <v>-111.22955770379662</v>
      </c>
      <c r="Y157" s="593">
        <f t="shared" si="83"/>
        <v>68.770442296203385</v>
      </c>
      <c r="AA157" s="150">
        <f t="shared" si="84"/>
        <v>1000000000</v>
      </c>
      <c r="AB157" s="150">
        <f t="shared" si="85"/>
        <v>78531056.15062499</v>
      </c>
      <c r="AD157" s="592">
        <f t="shared" si="86"/>
        <v>27.691822017449997</v>
      </c>
      <c r="AE157" s="593">
        <f t="shared" si="87"/>
        <v>-11.058884979345324</v>
      </c>
      <c r="AG157" s="592">
        <f t="shared" si="88"/>
        <v>8.4403565201537365</v>
      </c>
      <c r="AH157" s="593">
        <f t="shared" si="89"/>
        <v>-87.43542735158627</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5">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1.017811580870152</v>
      </c>
      <c r="N158" s="585">
        <f t="shared" si="74"/>
        <v>-0.18735613596950609</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10.617676777070674</v>
      </c>
      <c r="X158" s="590">
        <f t="shared" si="82"/>
        <v>-111.32805626112628</v>
      </c>
      <c r="Y158" s="593">
        <f t="shared" si="83"/>
        <v>68.671943738873722</v>
      </c>
      <c r="AA158" s="150">
        <f t="shared" si="84"/>
        <v>1000000000</v>
      </c>
      <c r="AB158" s="150">
        <f t="shared" si="85"/>
        <v>79432656.25</v>
      </c>
      <c r="AD158" s="592">
        <f t="shared" si="86"/>
        <v>27.690643170059587</v>
      </c>
      <c r="AE158" s="593">
        <f t="shared" si="87"/>
        <v>-11.025743440490219</v>
      </c>
      <c r="AG158" s="592">
        <f t="shared" si="88"/>
        <v>8.39354746307224</v>
      </c>
      <c r="AH158" s="593">
        <f t="shared" si="89"/>
        <v>-87.494466019432821</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5">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1.0180177872914669</v>
      </c>
      <c r="N159" s="585">
        <f t="shared" si="74"/>
        <v>-0.18842159482043652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10.5680536326007</v>
      </c>
      <c r="X159" s="590">
        <f t="shared" si="82"/>
        <v>-111.42892570909771</v>
      </c>
      <c r="Y159" s="593">
        <f t="shared" si="83"/>
        <v>68.571074290902288</v>
      </c>
      <c r="AA159" s="150">
        <f t="shared" si="84"/>
        <v>1000000000</v>
      </c>
      <c r="AB159" s="150">
        <f t="shared" si="85"/>
        <v>80360467.359999999</v>
      </c>
      <c r="AD159" s="592">
        <f t="shared" si="86"/>
        <v>27.689455086648017</v>
      </c>
      <c r="AE159" s="593">
        <f t="shared" si="87"/>
        <v>-10.992380787064137</v>
      </c>
      <c r="AG159" s="592">
        <f t="shared" si="88"/>
        <v>8.3459457659093559</v>
      </c>
      <c r="AH159" s="593">
        <f t="shared" si="89"/>
        <v>-87.554420145104302</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5">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1.0182251489003409</v>
      </c>
      <c r="N160" s="585">
        <f t="shared" si="74"/>
        <v>-0.1894866209184681</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10.518735439407468</v>
      </c>
      <c r="X160" s="590">
        <f t="shared" si="82"/>
        <v>-111.52988341894542</v>
      </c>
      <c r="Y160" s="593">
        <f t="shared" si="83"/>
        <v>68.470116581054583</v>
      </c>
      <c r="AA160" s="150">
        <f t="shared" si="84"/>
        <v>1000000000</v>
      </c>
      <c r="AB160" s="150">
        <f t="shared" si="85"/>
        <v>81293665.689999983</v>
      </c>
      <c r="AD160" s="592">
        <f t="shared" si="86"/>
        <v>27.688284858869451</v>
      </c>
      <c r="AE160" s="593">
        <f t="shared" si="87"/>
        <v>-10.959561759131644</v>
      </c>
      <c r="AG160" s="592">
        <f t="shared" si="88"/>
        <v>8.298635929060513</v>
      </c>
      <c r="AH160" s="593">
        <f t="shared" si="89"/>
        <v>-87.613924196925538</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5">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1.018433664991157</v>
      </c>
      <c r="N161" s="585">
        <f t="shared" si="74"/>
        <v>-0.1905512121126014</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10.469718682786668</v>
      </c>
      <c r="X161" s="590">
        <f t="shared" si="82"/>
        <v>-111.63092739655387</v>
      </c>
      <c r="Y161" s="593">
        <f t="shared" si="83"/>
        <v>68.369072603446128</v>
      </c>
      <c r="AA161" s="150">
        <f t="shared" si="84"/>
        <v>1000000000</v>
      </c>
      <c r="AB161" s="150">
        <f t="shared" si="85"/>
        <v>82232251.24000001</v>
      </c>
      <c r="AD161" s="592">
        <f t="shared" si="86"/>
        <v>27.687132073120708</v>
      </c>
      <c r="AE161" s="593">
        <f t="shared" si="87"/>
        <v>-10.927277277848349</v>
      </c>
      <c r="AG161" s="592">
        <f t="shared" si="88"/>
        <v>8.2516148501506592</v>
      </c>
      <c r="AH161" s="593">
        <f t="shared" si="89"/>
        <v>-87.672985289224215</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5">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1.0186433348549484</v>
      </c>
      <c r="N162" s="585">
        <f t="shared" si="74"/>
        <v>-0.19161536625753628</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10.420999909629016</v>
      </c>
      <c r="X162" s="590">
        <f t="shared" si="82"/>
        <v>-111.73205568657259</v>
      </c>
      <c r="Y162" s="593">
        <f t="shared" si="83"/>
        <v>68.267944313427407</v>
      </c>
      <c r="AA162" s="150">
        <f t="shared" si="84"/>
        <v>1000000000</v>
      </c>
      <c r="AB162" s="150">
        <f t="shared" si="85"/>
        <v>83176224.010000005</v>
      </c>
      <c r="AD162" s="592">
        <f t="shared" si="86"/>
        <v>27.685996327291058</v>
      </c>
      <c r="AE162" s="593">
        <f t="shared" si="87"/>
        <v>-10.895518463747203</v>
      </c>
      <c r="AG162" s="592">
        <f t="shared" si="88"/>
        <v>8.2048794769004925</v>
      </c>
      <c r="AH162" s="593">
        <f t="shared" si="89"/>
        <v>-87.731610375697358</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5">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1.0188590459305871</v>
      </c>
      <c r="N163" s="585">
        <f t="shared" si="74"/>
        <v>-0.19270367056740018</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10.371459550403353</v>
      </c>
      <c r="X163" s="590">
        <f t="shared" si="82"/>
        <v>-111.83560746238722</v>
      </c>
      <c r="Y163" s="593">
        <f t="shared" si="83"/>
        <v>68.164392537612784</v>
      </c>
      <c r="AA163" s="150">
        <f t="shared" si="84"/>
        <v>1000000000</v>
      </c>
      <c r="AB163" s="150">
        <f t="shared" si="85"/>
        <v>84147598.24000001</v>
      </c>
      <c r="AD163" s="592">
        <f t="shared" si="86"/>
        <v>27.684851549179221</v>
      </c>
      <c r="AE163" s="593">
        <f t="shared" si="87"/>
        <v>-10.863560323547439</v>
      </c>
      <c r="AG163" s="592">
        <f t="shared" si="88"/>
        <v>8.1573560760082113</v>
      </c>
      <c r="AH163" s="593">
        <f t="shared" si="89"/>
        <v>-87.791146799916675</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5">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1.0190759632375648</v>
      </c>
      <c r="N164" s="585">
        <f t="shared" si="74"/>
        <v>-0.19379151285918478</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10.322223991937218</v>
      </c>
      <c r="X164" s="590">
        <f t="shared" si="82"/>
        <v>-111.93924347369615</v>
      </c>
      <c r="Y164" s="593">
        <f t="shared" si="83"/>
        <v>68.060756526303848</v>
      </c>
      <c r="AA164" s="150">
        <f t="shared" si="84"/>
        <v>1000000000</v>
      </c>
      <c r="AB164" s="150">
        <f t="shared" si="85"/>
        <v>85124611.689999983</v>
      </c>
      <c r="AD164" s="592">
        <f t="shared" si="86"/>
        <v>27.683723791713003</v>
      </c>
      <c r="AE164" s="593">
        <f t="shared" si="87"/>
        <v>-10.83213425127056</v>
      </c>
      <c r="AG164" s="592">
        <f t="shared" si="88"/>
        <v>8.1101254373699732</v>
      </c>
      <c r="AH164" s="593">
        <f t="shared" si="89"/>
        <v>-87.850241053451697</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5">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1.0192940860057829</v>
      </c>
      <c r="N165" s="585">
        <f t="shared" si="74"/>
        <v>-0.19487889085397653</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10.273289726927612</v>
      </c>
      <c r="X165" s="590">
        <f t="shared" si="82"/>
        <v>-112.04296174614298</v>
      </c>
      <c r="Y165" s="593">
        <f t="shared" si="83"/>
        <v>67.957038253857021</v>
      </c>
      <c r="AA165" s="150">
        <f t="shared" si="84"/>
        <v>1000000000</v>
      </c>
      <c r="AB165" s="150">
        <f t="shared" si="85"/>
        <v>86107264.359999999</v>
      </c>
      <c r="AD165" s="592">
        <f t="shared" si="86"/>
        <v>27.682612659163194</v>
      </c>
      <c r="AE165" s="593">
        <f t="shared" si="87"/>
        <v>-10.801231350475557</v>
      </c>
      <c r="AG165" s="592">
        <f t="shared" si="88"/>
        <v>8.0631844480176635</v>
      </c>
      <c r="AH165" s="593">
        <f t="shared" si="89"/>
        <v>-87.908900090011471</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5">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1.0195134134615236</v>
      </c>
      <c r="N166" s="585">
        <f t="shared" si="74"/>
        <v>-0.19596580227919852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10.224653309446264</v>
      </c>
      <c r="X166" s="590">
        <f t="shared" si="82"/>
        <v>-112.14676034375927</v>
      </c>
      <c r="Y166" s="593">
        <f t="shared" si="83"/>
        <v>67.853239656240731</v>
      </c>
      <c r="AA166" s="150">
        <f t="shared" si="84"/>
        <v>1000000000</v>
      </c>
      <c r="AB166" s="150">
        <f t="shared" si="85"/>
        <v>87095556.25</v>
      </c>
      <c r="AD166" s="592">
        <f t="shared" si="86"/>
        <v>27.681517766805015</v>
      </c>
      <c r="AE166" s="593">
        <f t="shared" si="87"/>
        <v>-10.770842920370754</v>
      </c>
      <c r="AG166" s="592">
        <f t="shared" si="88"/>
        <v>8.0165300453458919</v>
      </c>
      <c r="AH166" s="593">
        <f t="shared" si="89"/>
        <v>-87.967130706023099</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5">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1.0197391507413542</v>
      </c>
      <c r="N167" s="585">
        <f t="shared" si="74"/>
        <v>-0.19707781459256449</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10.17517688051017</v>
      </c>
      <c r="X167" s="590">
        <f t="shared" si="82"/>
        <v>-112.25308361364755</v>
      </c>
      <c r="Y167" s="593">
        <f t="shared" si="83"/>
        <v>67.746916386352453</v>
      </c>
      <c r="AA167" s="150">
        <f t="shared" si="84"/>
        <v>1000000000</v>
      </c>
      <c r="AB167" s="150">
        <f t="shared" si="85"/>
        <v>88112952.922499999</v>
      </c>
      <c r="AD167" s="592">
        <f t="shared" si="86"/>
        <v>27.680413527915817</v>
      </c>
      <c r="AE167" s="593">
        <f t="shared" si="87"/>
        <v>-10.740263029981616</v>
      </c>
      <c r="AG167" s="592">
        <f t="shared" si="88"/>
        <v>7.9690710161241505</v>
      </c>
      <c r="AH167" s="593">
        <f t="shared" si="89"/>
        <v>-88.026295365142531</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5">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1.0199661484423732</v>
      </c>
      <c r="N168" s="585">
        <f t="shared" si="74"/>
        <v>-0.19818933331397987</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10.126005372784611</v>
      </c>
      <c r="X168" s="590">
        <f t="shared" si="82"/>
        <v>-112.35948704996579</v>
      </c>
      <c r="Y168" s="593">
        <f t="shared" si="83"/>
        <v>67.640512950034207</v>
      </c>
      <c r="AA168" s="150">
        <f t="shared" si="84"/>
        <v>1000000000</v>
      </c>
      <c r="AB168" s="150">
        <f t="shared" si="85"/>
        <v>89136257.440000013</v>
      </c>
      <c r="AD168" s="592">
        <f t="shared" si="86"/>
        <v>27.679325520991537</v>
      </c>
      <c r="AE168" s="593">
        <f t="shared" si="87"/>
        <v>-10.710204277203562</v>
      </c>
      <c r="AG168" s="592">
        <f t="shared" si="88"/>
        <v>7.9219058896875367</v>
      </c>
      <c r="AH168" s="593">
        <f t="shared" si="89"/>
        <v>-88.085025117697427</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5">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1.0201944057232331</v>
      </c>
      <c r="N169" s="585">
        <f t="shared" si="74"/>
        <v>-0.19930035602733948</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10.077135281718707</v>
      </c>
      <c r="X169" s="590">
        <f t="shared" si="82"/>
        <v>-112.46596869554253</v>
      </c>
      <c r="Y169" s="593">
        <f t="shared" si="83"/>
        <v>67.534031304457471</v>
      </c>
      <c r="AA169" s="150">
        <f t="shared" si="84"/>
        <v>1000000000</v>
      </c>
      <c r="AB169" s="150">
        <f t="shared" si="85"/>
        <v>90165469.80249998</v>
      </c>
      <c r="AD169" s="592">
        <f t="shared" si="86"/>
        <v>27.678253366979035</v>
      </c>
      <c r="AE169" s="593">
        <f t="shared" si="87"/>
        <v>-10.680657934829782</v>
      </c>
      <c r="AG169" s="592">
        <f t="shared" si="88"/>
        <v>7.8750315390103545</v>
      </c>
      <c r="AH169" s="593">
        <f t="shared" si="89"/>
        <v>-88.14332676754546</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5">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1.0204239217386726</v>
      </c>
      <c r="N170" s="585">
        <f t="shared" si="74"/>
        <v>-0.20041088032359222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10.028563164022088</v>
      </c>
      <c r="X170" s="590">
        <f t="shared" si="82"/>
        <v>-112.57252663126118</v>
      </c>
      <c r="Y170" s="593">
        <f t="shared" si="83"/>
        <v>67.427473368738816</v>
      </c>
      <c r="AA170" s="150">
        <f t="shared" si="84"/>
        <v>1000000000</v>
      </c>
      <c r="AB170" s="150">
        <f t="shared" si="85"/>
        <v>91200590.00999999</v>
      </c>
      <c r="AD170" s="592">
        <f t="shared" si="86"/>
        <v>27.677196697378026</v>
      </c>
      <c r="AE170" s="593">
        <f t="shared" si="87"/>
        <v>-10.651615467917171</v>
      </c>
      <c r="AG170" s="592">
        <f t="shared" si="88"/>
        <v>7.8284448877663397</v>
      </c>
      <c r="AH170" s="593">
        <f t="shared" si="89"/>
        <v>-88.201206964317436</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5">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1.0206601244723268</v>
      </c>
      <c r="N171" s="585">
        <f t="shared" si="74"/>
        <v>-0.20154693787834996</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9.9791566001578449</v>
      </c>
      <c r="X171" s="590">
        <f t="shared" si="82"/>
        <v>-112.68166134806614</v>
      </c>
      <c r="Y171" s="593">
        <f t="shared" si="83"/>
        <v>67.318338651933857</v>
      </c>
      <c r="AA171" s="150">
        <f t="shared" si="84"/>
        <v>1000000000</v>
      </c>
      <c r="AB171" s="150">
        <f t="shared" si="85"/>
        <v>92266110.52562499</v>
      </c>
      <c r="AD171" s="592">
        <f t="shared" si="86"/>
        <v>27.676130899002796</v>
      </c>
      <c r="AE171" s="593">
        <f t="shared" si="87"/>
        <v>-10.622404726328242</v>
      </c>
      <c r="AG171" s="592">
        <f t="shared" si="88"/>
        <v>7.7810601014782765</v>
      </c>
      <c r="AH171" s="593">
        <f t="shared" si="89"/>
        <v>-88.260015358716856</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5">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1.0208976438867097</v>
      </c>
      <c r="N172" s="585">
        <f t="shared" si="74"/>
        <v>-0.20268246827364195</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9.930055046324771</v>
      </c>
      <c r="X172" s="590">
        <f t="shared" si="82"/>
        <v>-112.79087202681403</v>
      </c>
      <c r="Y172" s="593">
        <f t="shared" si="83"/>
        <v>67.209127973185971</v>
      </c>
      <c r="AA172" s="150">
        <f t="shared" si="84"/>
        <v>1000000000</v>
      </c>
      <c r="AB172" s="150">
        <f t="shared" si="85"/>
        <v>93337819.32249999</v>
      </c>
      <c r="AD172" s="592">
        <f t="shared" si="86"/>
        <v>27.675080571385415</v>
      </c>
      <c r="AE172" s="593">
        <f t="shared" si="87"/>
        <v>-10.593704282969103</v>
      </c>
      <c r="AG172" s="592">
        <f t="shared" si="88"/>
        <v>7.733970308989722</v>
      </c>
      <c r="AH172" s="593">
        <f t="shared" si="89"/>
        <v>-88.318395911732893</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5">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1.0211364790630297</v>
      </c>
      <c r="N173" s="585">
        <f t="shared" si="74"/>
        <v>-0.20381746894997857</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9.8812550012803673</v>
      </c>
      <c r="X173" s="590">
        <f t="shared" si="82"/>
        <v>-112.90015672781107</v>
      </c>
      <c r="Y173" s="593">
        <f t="shared" si="83"/>
        <v>67.099843272188934</v>
      </c>
      <c r="AA173" s="150">
        <f t="shared" si="84"/>
        <v>1000000000</v>
      </c>
      <c r="AB173" s="150">
        <f t="shared" si="85"/>
        <v>94415716.40062499</v>
      </c>
      <c r="AD173" s="592">
        <f t="shared" si="86"/>
        <v>27.67404535157867</v>
      </c>
      <c r="AE173" s="593">
        <f t="shared" si="87"/>
        <v>-10.565505579995357</v>
      </c>
      <c r="AG173" s="592">
        <f t="shared" si="88"/>
        <v>7.6871723703316164</v>
      </c>
      <c r="AH173" s="593">
        <f t="shared" si="89"/>
        <v>-88.376355277679878</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5">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1.0213766290782669</v>
      </c>
      <c r="N174" s="585">
        <f t="shared" si="74"/>
        <v>-0.20495193735571665</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9.8327530249131954</v>
      </c>
      <c r="X174" s="590">
        <f t="shared" si="82"/>
        <v>-113.00951354906148</v>
      </c>
      <c r="Y174" s="593">
        <f t="shared" si="83"/>
        <v>66.990486450938519</v>
      </c>
      <c r="AA174" s="150">
        <f t="shared" si="84"/>
        <v>1000000000</v>
      </c>
      <c r="AB174" s="150">
        <f t="shared" si="85"/>
        <v>95499801.75999999</v>
      </c>
      <c r="AD174" s="592">
        <f t="shared" si="86"/>
        <v>27.673024886750209</v>
      </c>
      <c r="AE174" s="593">
        <f t="shared" si="87"/>
        <v>-10.537800248396527</v>
      </c>
      <c r="AG174" s="592">
        <f t="shared" si="88"/>
        <v>7.6406631965421141</v>
      </c>
      <c r="AH174" s="593">
        <f t="shared" si="89"/>
        <v>-88.433899959713997</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5">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1.0216236430800805</v>
      </c>
      <c r="N175" s="585">
        <f t="shared" si="74"/>
        <v>-0.20611185594401202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9.7834441891396455</v>
      </c>
      <c r="X175" s="590">
        <f t="shared" si="82"/>
        <v>-113.12144965054398</v>
      </c>
      <c r="Y175" s="593">
        <f t="shared" si="83"/>
        <v>66.87855034945602</v>
      </c>
      <c r="AA175" s="150">
        <f t="shared" si="84"/>
        <v>1000000000</v>
      </c>
      <c r="AB175" s="150">
        <f t="shared" si="85"/>
        <v>96615138.48999998</v>
      </c>
      <c r="AD175" s="592">
        <f t="shared" si="86"/>
        <v>27.671995940059517</v>
      </c>
      <c r="AE175" s="593">
        <f t="shared" si="87"/>
        <v>-10.50996180479231</v>
      </c>
      <c r="AG175" s="592">
        <f t="shared" si="88"/>
        <v>7.5933835707605368</v>
      </c>
      <c r="AH175" s="593">
        <f t="shared" si="89"/>
        <v>-88.492341218719446</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5">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1.0218720309201279</v>
      </c>
      <c r="N176" s="585">
        <f t="shared" si="74"/>
        <v>-0.20727121220547476</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9.7344401508915883</v>
      </c>
      <c r="X176" s="590">
        <f t="shared" si="82"/>
        <v>-113.23345730707149</v>
      </c>
      <c r="Y176" s="593">
        <f t="shared" si="83"/>
        <v>66.76654269292851</v>
      </c>
      <c r="AA176" s="150">
        <f t="shared" si="84"/>
        <v>1000000000</v>
      </c>
      <c r="AB176" s="150">
        <f t="shared" si="85"/>
        <v>97736950.440000013</v>
      </c>
      <c r="AD176" s="592">
        <f t="shared" si="86"/>
        <v>27.670981716633172</v>
      </c>
      <c r="AE176" s="593">
        <f t="shared" si="87"/>
        <v>-10.482622477335614</v>
      </c>
      <c r="AG176" s="592">
        <f t="shared" si="88"/>
        <v>7.5463997195790364</v>
      </c>
      <c r="AH176" s="593">
        <f t="shared" si="89"/>
        <v>-88.550361864759623</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5">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1.0221217915968319</v>
      </c>
      <c r="N177" s="585">
        <f t="shared" si="74"/>
        <v>-0.20843000343460433</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9.6857374174020645</v>
      </c>
      <c r="X177" s="590">
        <f t="shared" si="82"/>
        <v>-113.345534599171</v>
      </c>
      <c r="Y177" s="593">
        <f t="shared" si="83"/>
        <v>66.654465400828997</v>
      </c>
      <c r="AA177" s="150">
        <f t="shared" si="84"/>
        <v>1000000000</v>
      </c>
      <c r="AB177" s="150">
        <f t="shared" si="85"/>
        <v>98865237.610000014</v>
      </c>
      <c r="AD177" s="592">
        <f t="shared" si="86"/>
        <v>27.669981869525728</v>
      </c>
      <c r="AE177" s="593">
        <f t="shared" si="87"/>
        <v>-10.455773888516783</v>
      </c>
      <c r="AG177" s="592">
        <f t="shared" si="88"/>
        <v>7.4997084953454269</v>
      </c>
      <c r="AH177" s="593">
        <f t="shared" si="89"/>
        <v>-88.607968394473104</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5">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1.0223729241040607</v>
      </c>
      <c r="N178" s="585">
        <f t="shared" si="74"/>
        <v>-0.20958822693460674</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9.6373325567835781</v>
      </c>
      <c r="X178" s="590">
        <f t="shared" si="82"/>
        <v>-113.45767964462121</v>
      </c>
      <c r="Y178" s="593">
        <f t="shared" si="83"/>
        <v>66.542320355378791</v>
      </c>
      <c r="AA178" s="150">
        <f t="shared" si="84"/>
        <v>1000000000</v>
      </c>
      <c r="AB178" s="150">
        <f t="shared" si="85"/>
        <v>100000000</v>
      </c>
      <c r="AD178" s="592">
        <f t="shared" si="86"/>
        <v>27.668996061465304</v>
      </c>
      <c r="AE178" s="593">
        <f t="shared" si="87"/>
        <v>-10.429407845867878</v>
      </c>
      <c r="AG178" s="592">
        <f t="shared" si="88"/>
        <v>7.4533068016038326</v>
      </c>
      <c r="AH178" s="593">
        <f t="shared" si="89"/>
        <v>-88.665167156680909</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5">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1.0226314349228145</v>
      </c>
      <c r="N179" s="585">
        <f t="shared" si="74"/>
        <v>-0.21077333935389117</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9.5880842874076126</v>
      </c>
      <c r="X179" s="590">
        <f t="shared" si="82"/>
        <v>-113.57255368154239</v>
      </c>
      <c r="Y179" s="593">
        <f t="shared" si="83"/>
        <v>66.427446318457612</v>
      </c>
      <c r="AA179" s="150">
        <f t="shared" si="84"/>
        <v>1000000000</v>
      </c>
      <c r="AB179" s="150">
        <f t="shared" si="85"/>
        <v>101168393.0625</v>
      </c>
      <c r="AD179" s="592">
        <f t="shared" si="86"/>
        <v>27.668001064604553</v>
      </c>
      <c r="AE179" s="593">
        <f t="shared" si="87"/>
        <v>-10.402907737611438</v>
      </c>
      <c r="AG179" s="592">
        <f t="shared" si="88"/>
        <v>7.4061009246689524</v>
      </c>
      <c r="AH179" s="593">
        <f t="shared" si="89"/>
        <v>-88.723307090715821</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5">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1.022891381291527</v>
      </c>
      <c r="N180" s="585">
        <f t="shared" si="74"/>
        <v>-0.21195785109323012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9.5391411038598122</v>
      </c>
      <c r="X180" s="590">
        <f t="shared" si="82"/>
        <v>-113.6874948485402</v>
      </c>
      <c r="Y180" s="593">
        <f t="shared" si="83"/>
        <v>66.312505151459803</v>
      </c>
      <c r="AA180" s="150">
        <f t="shared" si="84"/>
        <v>1000000000</v>
      </c>
      <c r="AB180" s="150">
        <f t="shared" si="85"/>
        <v>102343572.25</v>
      </c>
      <c r="AD180" s="592">
        <f t="shared" si="86"/>
        <v>27.667020095240446</v>
      </c>
      <c r="AE180" s="593">
        <f t="shared" si="87"/>
        <v>-10.376896541925834</v>
      </c>
      <c r="AG180" s="592">
        <f t="shared" si="88"/>
        <v>7.3591920723217221</v>
      </c>
      <c r="AH180" s="593">
        <f t="shared" si="89"/>
        <v>-88.781032686611539</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5">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1.0231527621160332</v>
      </c>
      <c r="N181" s="585">
        <f t="shared" si="74"/>
        <v>-0.21314175928782786</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9.4904995132517307</v>
      </c>
      <c r="X181" s="590">
        <f t="shared" si="82"/>
        <v>-113.80250124146424</v>
      </c>
      <c r="Y181" s="593">
        <f t="shared" si="83"/>
        <v>66.197498758535758</v>
      </c>
      <c r="AA181" s="150">
        <f t="shared" si="84"/>
        <v>1000000000</v>
      </c>
      <c r="AB181" s="150">
        <f t="shared" si="85"/>
        <v>103525537.5625</v>
      </c>
      <c r="AD181" s="592">
        <f t="shared" si="86"/>
        <v>27.666052820969774</v>
      </c>
      <c r="AE181" s="593">
        <f t="shared" si="87"/>
        <v>-10.351366039422345</v>
      </c>
      <c r="AG181" s="592">
        <f t="shared" si="88"/>
        <v>7.312577082070141</v>
      </c>
      <c r="AH181" s="593">
        <f t="shared" si="89"/>
        <v>-88.838350300903357</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5">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1.023415576297251</v>
      </c>
      <c r="N182" s="585">
        <f t="shared" si="74"/>
        <v>-0.21432506108257504</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9.4421560835197642</v>
      </c>
      <c r="X182" s="590">
        <f t="shared" si="82"/>
        <v>-113.9175709930776</v>
      </c>
      <c r="Y182" s="593">
        <f t="shared" si="83"/>
        <v>66.082429006922396</v>
      </c>
      <c r="AA182" s="150">
        <f t="shared" si="84"/>
        <v>1000000000</v>
      </c>
      <c r="AB182" s="150">
        <f t="shared" si="85"/>
        <v>104714289</v>
      </c>
      <c r="AD182" s="592">
        <f t="shared" si="86"/>
        <v>27.665098918668782</v>
      </c>
      <c r="AE182" s="593">
        <f t="shared" si="87"/>
        <v>-10.326308192574253</v>
      </c>
      <c r="AG182" s="592">
        <f t="shared" si="88"/>
        <v>7.266252842957055</v>
      </c>
      <c r="AH182" s="593">
        <f t="shared" si="89"/>
        <v>-88.895266145144902</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5">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1.0236855089446508</v>
      </c>
      <c r="N183" s="585">
        <f t="shared" si="74"/>
        <v>-0.21553312660231994</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9.3930795615357638</v>
      </c>
      <c r="X183" s="590">
        <f t="shared" si="82"/>
        <v>-114.03517356142783</v>
      </c>
      <c r="Y183" s="593">
        <f t="shared" si="83"/>
        <v>65.964826438572175</v>
      </c>
      <c r="AA183" s="150">
        <f t="shared" si="84"/>
        <v>1000000000</v>
      </c>
      <c r="AB183" s="150">
        <f t="shared" si="85"/>
        <v>105935556.25</v>
      </c>
      <c r="AD183" s="592">
        <f t="shared" si="86"/>
        <v>27.664138025229764</v>
      </c>
      <c r="AE183" s="593">
        <f t="shared" si="87"/>
        <v>-10.301192429852707</v>
      </c>
      <c r="AG183" s="592">
        <f t="shared" si="88"/>
        <v>7.2192315164074738</v>
      </c>
      <c r="AH183" s="593">
        <f t="shared" si="89"/>
        <v>-88.952994875842322</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5">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1.0239569347925561</v>
      </c>
      <c r="N184" s="585">
        <f t="shared" si="74"/>
        <v>-0.21674055342640519</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9.3443070836141509</v>
      </c>
      <c r="X184" s="590">
        <f t="shared" si="82"/>
        <v>-114.15283841239254</v>
      </c>
      <c r="Y184" s="593">
        <f t="shared" si="83"/>
        <v>65.847161587607459</v>
      </c>
      <c r="AA184" s="150">
        <f t="shared" si="84"/>
        <v>1000000000</v>
      </c>
      <c r="AB184" s="150">
        <f t="shared" si="85"/>
        <v>107163904</v>
      </c>
      <c r="AD184" s="592">
        <f t="shared" si="86"/>
        <v>27.66319043060237</v>
      </c>
      <c r="AE184" s="593">
        <f t="shared" si="87"/>
        <v>-10.276553432795181</v>
      </c>
      <c r="AG184" s="592">
        <f t="shared" si="88"/>
        <v>7.1725071516865855</v>
      </c>
      <c r="AH184" s="593">
        <f t="shared" si="89"/>
        <v>-89.010317063850835</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5">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1.0242298526538514</v>
      </c>
      <c r="N185" s="585">
        <f t="shared" si="74"/>
        <v>-0.21794733854344253</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9.2958351794610437</v>
      </c>
      <c r="X185" s="590">
        <f t="shared" si="82"/>
        <v>-114.27056366922686</v>
      </c>
      <c r="Y185" s="593">
        <f t="shared" si="83"/>
        <v>65.72943633077314</v>
      </c>
      <c r="AA185" s="150">
        <f t="shared" si="84"/>
        <v>1000000000</v>
      </c>
      <c r="AB185" s="150">
        <f t="shared" si="85"/>
        <v>108399332.25</v>
      </c>
      <c r="AD185" s="592">
        <f t="shared" si="86"/>
        <v>27.66225581844099</v>
      </c>
      <c r="AE185" s="593">
        <f t="shared" si="87"/>
        <v>-10.252383191228965</v>
      </c>
      <c r="AG185" s="592">
        <f t="shared" si="88"/>
        <v>7.1260765926614011</v>
      </c>
      <c r="AH185" s="593">
        <f t="shared" si="89"/>
        <v>-89.067238886475877</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5">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1.0245042613361635</v>
      </c>
      <c r="N186" s="585">
        <f t="shared" si="74"/>
        <v>-0.21915347895271994</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9.2476604390254629</v>
      </c>
      <c r="X186" s="590">
        <f t="shared" si="82"/>
        <v>-114.38834749143024</v>
      </c>
      <c r="Y186" s="593">
        <f t="shared" si="83"/>
        <v>65.611652508569762</v>
      </c>
      <c r="AA186" s="150">
        <f t="shared" si="84"/>
        <v>1000000000</v>
      </c>
      <c r="AB186" s="150">
        <f t="shared" si="85"/>
        <v>109641841</v>
      </c>
      <c r="AD186" s="592">
        <f t="shared" si="86"/>
        <v>27.661333881222575</v>
      </c>
      <c r="AE186" s="593">
        <f t="shared" si="87"/>
        <v>-10.228673872122551</v>
      </c>
      <c r="AG186" s="592">
        <f t="shared" si="88"/>
        <v>7.0799367346073012</v>
      </c>
      <c r="AH186" s="593">
        <f t="shared" si="89"/>
        <v>-89.123766380092533</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5">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1.0247871343010058</v>
      </c>
      <c r="N187" s="585">
        <f t="shared" si="74"/>
        <v>-0.22038935384070057</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9.1985761969118656</v>
      </c>
      <c r="X187" s="590">
        <f t="shared" si="82"/>
        <v>-114.50915956279249</v>
      </c>
      <c r="Y187" s="593">
        <f t="shared" si="83"/>
        <v>65.49084043720751</v>
      </c>
      <c r="AA187" s="150">
        <f t="shared" si="84"/>
        <v>1000000000</v>
      </c>
      <c r="AB187" s="150">
        <f t="shared" si="85"/>
        <v>110923024</v>
      </c>
      <c r="AD187" s="592">
        <f t="shared" si="86"/>
        <v>27.660401547216395</v>
      </c>
      <c r="AE187" s="593">
        <f t="shared" si="87"/>
        <v>-10.204837319278994</v>
      </c>
      <c r="AG187" s="592">
        <f t="shared" si="88"/>
        <v>7.0329322758778119</v>
      </c>
      <c r="AH187" s="593">
        <f t="shared" si="89"/>
        <v>-89.181315745565428</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5">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1.0250715716468599</v>
      </c>
      <c r="N188" s="585">
        <f t="shared" si="74"/>
        <v>-0.22162454475212509</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9.1497972199666382</v>
      </c>
      <c r="X188" s="590">
        <f t="shared" si="82"/>
        <v>-114.63002938481637</v>
      </c>
      <c r="Y188" s="593">
        <f t="shared" si="83"/>
        <v>65.369970615183632</v>
      </c>
      <c r="AA188" s="150">
        <f t="shared" si="84"/>
        <v>1000000000</v>
      </c>
      <c r="AB188" s="150">
        <f t="shared" si="85"/>
        <v>112211649</v>
      </c>
      <c r="AD188" s="592">
        <f t="shared" si="86"/>
        <v>27.659481907874973</v>
      </c>
      <c r="AE188" s="593">
        <f t="shared" si="87"/>
        <v>-10.181469098485682</v>
      </c>
      <c r="AG188" s="592">
        <f t="shared" si="88"/>
        <v>6.9862269123033567</v>
      </c>
      <c r="AH188" s="593">
        <f t="shared" si="89"/>
        <v>-89.238463060827016</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5">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1.0253575720718335</v>
      </c>
      <c r="N189" s="585">
        <f t="shared" si="74"/>
        <v>-0.22285904848872662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9.1013200217892596</v>
      </c>
      <c r="X189" s="590">
        <f t="shared" si="82"/>
        <v>-114.75095508694096</v>
      </c>
      <c r="Y189" s="593">
        <f t="shared" si="83"/>
        <v>65.249044913059038</v>
      </c>
      <c r="AA189" s="150">
        <f t="shared" si="84"/>
        <v>1000000000</v>
      </c>
      <c r="AB189" s="150">
        <f t="shared" si="85"/>
        <v>113507716</v>
      </c>
      <c r="AD189" s="592">
        <f t="shared" si="86"/>
        <v>27.658574658819091</v>
      </c>
      <c r="AE189" s="593">
        <f t="shared" si="87"/>
        <v>-10.158561317743132</v>
      </c>
      <c r="AG189" s="592">
        <f t="shared" si="88"/>
        <v>6.9398174594575099</v>
      </c>
      <c r="AH189" s="593">
        <f t="shared" si="89"/>
        <v>-89.295214394446376</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5">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1.0256451342683359</v>
      </c>
      <c r="N190" s="585">
        <f t="shared" si="74"/>
        <v>-0.22409286186417385</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9.0531411765309731</v>
      </c>
      <c r="X190" s="590">
        <f t="shared" si="82"/>
        <v>-114.87193483471091</v>
      </c>
      <c r="Y190" s="593">
        <f t="shared" si="83"/>
        <v>65.128065165289087</v>
      </c>
      <c r="AA190" s="150">
        <f t="shared" si="84"/>
        <v>1000000000</v>
      </c>
      <c r="AB190" s="150">
        <f t="shared" si="85"/>
        <v>114811225</v>
      </c>
      <c r="AD190" s="592">
        <f t="shared" si="86"/>
        <v>27.657679504180528</v>
      </c>
      <c r="AE190" s="593">
        <f t="shared" si="87"/>
        <v>-10.136106260111969</v>
      </c>
      <c r="AG190" s="592">
        <f t="shared" si="88"/>
        <v>6.8937007849419283</v>
      </c>
      <c r="AH190" s="593">
        <f t="shared" si="89"/>
        <v>-89.351575675999825</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5">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1.0259413861431317</v>
      </c>
      <c r="N191" s="585">
        <f t="shared" si="74"/>
        <v>-0.22535629555945239</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9.0040835333574165</v>
      </c>
      <c r="X191" s="590">
        <f t="shared" si="82"/>
        <v>-114.99594366852776</v>
      </c>
      <c r="Y191" s="593">
        <f t="shared" si="83"/>
        <v>65.004056331472242</v>
      </c>
      <c r="AA191" s="150">
        <f t="shared" si="84"/>
        <v>1000000000</v>
      </c>
      <c r="AB191" s="150">
        <f t="shared" si="85"/>
        <v>116154506.25</v>
      </c>
      <c r="AD191" s="592">
        <f t="shared" si="86"/>
        <v>27.656774580991183</v>
      </c>
      <c r="AE191" s="593">
        <f t="shared" si="87"/>
        <v>-10.113560697308673</v>
      </c>
      <c r="AG191" s="592">
        <f t="shared" si="88"/>
        <v>6.8467505379222366</v>
      </c>
      <c r="AH191" s="593">
        <f t="shared" si="89"/>
        <v>-89.408924391906538</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5">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1.0262392747449061</v>
      </c>
      <c r="N192" s="585">
        <f t="shared" si="74"/>
        <v>-0.22661899779032937</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8.9553320041961832</v>
      </c>
      <c r="X192" s="590">
        <f t="shared" si="82"/>
        <v>-115.12000545198573</v>
      </c>
      <c r="Y192" s="593">
        <f t="shared" si="83"/>
        <v>64.879994548014267</v>
      </c>
      <c r="AA192" s="150">
        <f t="shared" si="84"/>
        <v>1000000000</v>
      </c>
      <c r="AB192" s="150">
        <f t="shared" si="85"/>
        <v>117505600</v>
      </c>
      <c r="AD192" s="592">
        <f t="shared" si="86"/>
        <v>27.655881751686668</v>
      </c>
      <c r="AE192" s="593">
        <f t="shared" si="87"/>
        <v>-10.09147453781631</v>
      </c>
      <c r="AG192" s="592">
        <f t="shared" si="88"/>
        <v>6.80010115026798</v>
      </c>
      <c r="AH192" s="593">
        <f t="shared" si="89"/>
        <v>-89.465875808923528</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5">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1.0265387986487864</v>
      </c>
      <c r="N193" s="585">
        <f t="shared" si="74"/>
        <v>-0.22788096516880216</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8.9068830928740947</v>
      </c>
      <c r="X193" s="590">
        <f t="shared" si="82"/>
        <v>-115.2441183239311</v>
      </c>
      <c r="Y193" s="593">
        <f t="shared" si="83"/>
        <v>64.755881676068896</v>
      </c>
      <c r="AA193" s="150">
        <f t="shared" si="84"/>
        <v>1000000000</v>
      </c>
      <c r="AB193" s="150">
        <f t="shared" si="85"/>
        <v>118864506.25</v>
      </c>
      <c r="AD193" s="592">
        <f t="shared" si="86"/>
        <v>27.655000724011774</v>
      </c>
      <c r="AE193" s="593">
        <f t="shared" si="87"/>
        <v>-10.069840022121074</v>
      </c>
      <c r="AG193" s="592">
        <f t="shared" si="88"/>
        <v>6.7537494154183744</v>
      </c>
      <c r="AH193" s="593">
        <f t="shared" si="89"/>
        <v>-89.522435875934505</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5">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1.0268399564237456</v>
      </c>
      <c r="N194" s="585">
        <f t="shared" si="74"/>
        <v>-0.22914219432017258</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8.8587333639289625</v>
      </c>
      <c r="X194" s="590">
        <f t="shared" si="82"/>
        <v>-115.3682804590773</v>
      </c>
      <c r="Y194" s="593">
        <f t="shared" si="83"/>
        <v>64.631719540922703</v>
      </c>
      <c r="AA194" s="150">
        <f t="shared" si="84"/>
        <v>1000000000</v>
      </c>
      <c r="AB194" s="150">
        <f t="shared" si="85"/>
        <v>120231225</v>
      </c>
      <c r="AD194" s="592">
        <f t="shared" si="86"/>
        <v>27.654131213899259</v>
      </c>
      <c r="AE194" s="593">
        <f t="shared" si="87"/>
        <v>-10.048649563236371</v>
      </c>
      <c r="AG194" s="592">
        <f t="shared" si="88"/>
        <v>6.7076921793220476</v>
      </c>
      <c r="AH194" s="593">
        <f t="shared" si="89"/>
        <v>-89.578610405120585</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5">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1.0271488190777347</v>
      </c>
      <c r="N195" s="585">
        <f t="shared" si="74"/>
        <v>-0.2304278840471235</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8.809925357078658</v>
      </c>
      <c r="X195" s="590">
        <f t="shared" si="82"/>
        <v>-115.49497473135176</v>
      </c>
      <c r="Y195" s="593">
        <f t="shared" si="83"/>
        <v>64.505025268648239</v>
      </c>
      <c r="AA195" s="150">
        <f t="shared" si="84"/>
        <v>1000000000</v>
      </c>
      <c r="AB195" s="150">
        <f t="shared" si="85"/>
        <v>121633326.5625</v>
      </c>
      <c r="AD195" s="592">
        <f t="shared" si="86"/>
        <v>27.653255892628511</v>
      </c>
      <c r="AE195" s="593">
        <f t="shared" si="87"/>
        <v>-10.027485069129687</v>
      </c>
      <c r="AG195" s="592">
        <f t="shared" si="88"/>
        <v>6.6610139736872505</v>
      </c>
      <c r="AH195" s="593">
        <f t="shared" si="89"/>
        <v>-89.635517132977412</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5">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1.0274593785843165</v>
      </c>
      <c r="N196" s="585">
        <f t="shared" si="74"/>
        <v>-0.23171279867272879</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8.76142158647008</v>
      </c>
      <c r="X196" s="590">
        <f t="shared" si="82"/>
        <v>-115.62171653109053</v>
      </c>
      <c r="Y196" s="593">
        <f t="shared" si="83"/>
        <v>64.378283468909473</v>
      </c>
      <c r="AA196" s="150">
        <f t="shared" si="84"/>
        <v>1000000000</v>
      </c>
      <c r="AB196" s="150">
        <f t="shared" si="85"/>
        <v>123043556.25</v>
      </c>
      <c r="AD196" s="592">
        <f t="shared" si="86"/>
        <v>27.65239198209207</v>
      </c>
      <c r="AE196" s="593">
        <f t="shared" si="87"/>
        <v>-10.006767154898537</v>
      </c>
      <c r="AG196" s="592">
        <f t="shared" si="88"/>
        <v>6.6146356979618055</v>
      </c>
      <c r="AH196" s="593">
        <f t="shared" si="89"/>
        <v>-89.69203454409508</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5">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1.0277716334052884</v>
      </c>
      <c r="N197" s="585">
        <f t="shared" si="74"/>
        <v>-0.23299693465874868</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8.7132185925861219</v>
      </c>
      <c r="X197" s="590">
        <f t="shared" si="82"/>
        <v>-115.74850403078821</v>
      </c>
      <c r="Y197" s="593">
        <f t="shared" si="83"/>
        <v>64.251495969211788</v>
      </c>
      <c r="AA197" s="150">
        <f t="shared" si="84"/>
        <v>1000000000</v>
      </c>
      <c r="AB197" s="150">
        <f t="shared" si="85"/>
        <v>124461914.0625</v>
      </c>
      <c r="AD197" s="592">
        <f t="shared" si="86"/>
        <v>27.651539205439256</v>
      </c>
      <c r="AE197" s="593">
        <f t="shared" si="87"/>
        <v>-9.986488293821921</v>
      </c>
      <c r="AG197" s="592">
        <f t="shared" si="88"/>
        <v>6.5685541666147875</v>
      </c>
      <c r="AH197" s="593">
        <f t="shared" si="89"/>
        <v>-89.74816839111952</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5">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1.0280855819959251</v>
      </c>
      <c r="N198" s="585">
        <f t="shared" si="74"/>
        <v>-0.23428028848150209</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8.6653129757073479</v>
      </c>
      <c r="X198" s="590">
        <f t="shared" si="82"/>
        <v>-115.87533543793514</v>
      </c>
      <c r="Y198" s="593">
        <f t="shared" si="83"/>
        <v>64.124664562064865</v>
      </c>
      <c r="AA198" s="150">
        <f t="shared" si="84"/>
        <v>1000000000</v>
      </c>
      <c r="AB198" s="150">
        <f t="shared" si="85"/>
        <v>125888400</v>
      </c>
      <c r="AD198" s="592">
        <f t="shared" si="86"/>
        <v>27.650697293556576</v>
      </c>
      <c r="AE198" s="593">
        <f t="shared" si="87"/>
        <v>-9.9666411261759524</v>
      </c>
      <c r="AG198" s="592">
        <f t="shared" si="88"/>
        <v>6.522766246160864</v>
      </c>
      <c r="AH198" s="593">
        <f t="shared" si="89"/>
        <v>-89.803924294646578</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5">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1.0284099113039622</v>
      </c>
      <c r="N199" s="585">
        <f t="shared" si="74"/>
        <v>-0.23559805327195291</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8.6163985250825288</v>
      </c>
      <c r="X199" s="590">
        <f t="shared" si="82"/>
        <v>-116.00569237550604</v>
      </c>
      <c r="Y199" s="593">
        <f t="shared" si="83"/>
        <v>63.994307624493956</v>
      </c>
      <c r="AA199" s="150">
        <f t="shared" si="84"/>
        <v>1000000000</v>
      </c>
      <c r="AB199" s="150">
        <f t="shared" si="85"/>
        <v>127362510.25</v>
      </c>
      <c r="AD199" s="592">
        <f t="shared" si="86"/>
        <v>27.649843311657616</v>
      </c>
      <c r="AE199" s="593">
        <f t="shared" si="87"/>
        <v>-9.9466912021816647</v>
      </c>
      <c r="AG199" s="592">
        <f t="shared" si="88"/>
        <v>6.4760239741013406</v>
      </c>
      <c r="AH199" s="593">
        <f t="shared" si="89"/>
        <v>-89.860822876008754</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5">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1.0287360253221183</v>
      </c>
      <c r="N200" s="585">
        <f t="shared" si="74"/>
        <v>-0.23691498487314233</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8.5677909137658261</v>
      </c>
      <c r="X200" s="590">
        <f t="shared" si="82"/>
        <v>-116.13609193740912</v>
      </c>
      <c r="Y200" s="593">
        <f t="shared" si="83"/>
        <v>63.86390806259088</v>
      </c>
      <c r="AA200" s="150">
        <f t="shared" si="84"/>
        <v>1000000000</v>
      </c>
      <c r="AB200" s="150">
        <f t="shared" si="85"/>
        <v>128845201</v>
      </c>
      <c r="AD200" s="592">
        <f t="shared" si="86"/>
        <v>27.649000247225469</v>
      </c>
      <c r="AE200" s="593">
        <f t="shared" si="87"/>
        <v>-9.9271817678076815</v>
      </c>
      <c r="AG200" s="592">
        <f t="shared" si="88"/>
        <v>6.4295851114085423</v>
      </c>
      <c r="AH200" s="593">
        <f t="shared" si="89"/>
        <v>-89.917334096451711</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5">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1.0290639223536509</v>
      </c>
      <c r="N201" s="585">
        <f t="shared" si="74"/>
        <v>-0.23823107951143993</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8.519486642475119</v>
      </c>
      <c r="X201" s="590">
        <f t="shared" si="82"/>
        <v>-116.26653228902468</v>
      </c>
      <c r="Y201" s="593">
        <f t="shared" si="83"/>
        <v>63.733467710975319</v>
      </c>
      <c r="AA201" s="150">
        <f t="shared" si="84"/>
        <v>1000000000</v>
      </c>
      <c r="AB201" s="150">
        <f t="shared" si="85"/>
        <v>130336472.25</v>
      </c>
      <c r="AD201" s="592">
        <f t="shared" si="86"/>
        <v>27.648167832219677</v>
      </c>
      <c r="AE201" s="593">
        <f t="shared" si="87"/>
        <v>-9.9081053613689356</v>
      </c>
      <c r="AG201" s="592">
        <f t="shared" si="88"/>
        <v>6.3834464236678548</v>
      </c>
      <c r="AH201" s="593">
        <f t="shared" si="89"/>
        <v>-89.973463640780849</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5">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1.0293936006947075</v>
      </c>
      <c r="N202" s="585">
        <f t="shared" si="74"/>
        <v>-0.23954633342960802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8.4714822725685064</v>
      </c>
      <c r="X202" s="590">
        <f t="shared" si="82"/>
        <v>-116.39701163088107</v>
      </c>
      <c r="Y202" s="593">
        <f t="shared" si="83"/>
        <v>63.602988369118933</v>
      </c>
      <c r="AA202" s="150">
        <f t="shared" si="84"/>
        <v>1000000000</v>
      </c>
      <c r="AB202" s="150">
        <f t="shared" si="85"/>
        <v>131836324</v>
      </c>
      <c r="AD202" s="592">
        <f t="shared" si="86"/>
        <v>27.647345806125788</v>
      </c>
      <c r="AE202" s="593">
        <f t="shared" si="87"/>
        <v>-9.8894546875667544</v>
      </c>
      <c r="AG202" s="592">
        <f t="shared" si="88"/>
        <v>6.3376047295619111</v>
      </c>
      <c r="AH202" s="593">
        <f t="shared" si="89"/>
        <v>-90.029217062509076</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5">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1.0297314014613017</v>
      </c>
      <c r="N203" s="585">
        <f t="shared" si="74"/>
        <v>-0.24088581880078003</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8.4228668310942449</v>
      </c>
      <c r="X203" s="590">
        <f t="shared" si="82"/>
        <v>-116.53001932252353</v>
      </c>
      <c r="Y203" s="593">
        <f t="shared" si="83"/>
        <v>63.469980677476471</v>
      </c>
      <c r="AA203" s="150">
        <f t="shared" si="84"/>
        <v>1000000000</v>
      </c>
      <c r="AB203" s="150">
        <f t="shared" si="85"/>
        <v>133373626.5625</v>
      </c>
      <c r="AD203" s="592">
        <f t="shared" si="86"/>
        <v>27.646518518549648</v>
      </c>
      <c r="AE203" s="593">
        <f t="shared" si="87"/>
        <v>-9.8708786971276954</v>
      </c>
      <c r="AG203" s="592">
        <f t="shared" si="88"/>
        <v>6.2911905036488358</v>
      </c>
      <c r="AH203" s="593">
        <f t="shared" si="89"/>
        <v>-90.085653139990413</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5">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1.03007104857995</v>
      </c>
      <c r="N204" s="585">
        <f t="shared" si="74"/>
        <v>-0.24222442323070492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8.3745558226067764</v>
      </c>
      <c r="X204" s="590">
        <f t="shared" si="82"/>
        <v>-116.66306384107546</v>
      </c>
      <c r="Y204" s="593">
        <f t="shared" si="83"/>
        <v>63.336936158924544</v>
      </c>
      <c r="AA204" s="150">
        <f t="shared" si="84"/>
        <v>1000000000</v>
      </c>
      <c r="AB204" s="150">
        <f t="shared" si="85"/>
        <v>134919840.25</v>
      </c>
      <c r="AD204" s="592">
        <f t="shared" si="86"/>
        <v>27.645701496713123</v>
      </c>
      <c r="AE204" s="593">
        <f t="shared" si="87"/>
        <v>-9.8527300541836134</v>
      </c>
      <c r="AG204" s="592">
        <f t="shared" si="88"/>
        <v>6.2450782076691516</v>
      </c>
      <c r="AH204" s="593">
        <f t="shared" si="89"/>
        <v>-90.141709846669912</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5">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1.0304125402248556</v>
      </c>
      <c r="N205" s="585">
        <f t="shared" ref="N205:N268" si="110">-ATAN(G205/z_RHP)</f>
        <v>-0.2435621427957094</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8.3265457932445628</v>
      </c>
      <c r="X205" s="590">
        <f t="shared" ref="X205:X268" si="116">((L205+R205+N205+V205)-(J205+P205+T205))*radconv</f>
        <v>-116.79614338902491</v>
      </c>
      <c r="Y205" s="593">
        <f t="shared" ref="Y205:Y268" si="117">IF(X205&gt;0,X205,X205+180)</f>
        <v>63.203856610975095</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6.1992646375066709</v>
      </c>
      <c r="AH205" s="593">
        <f t="shared" ref="AH205:AH268" si="123">(L205+N205-(J205+V205))*radconv</f>
        <v>-90.197392662601658</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5">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1.0307558745627317</v>
      </c>
      <c r="N206" s="585">
        <f t="shared" si="110"/>
        <v>-0.24489897358997362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8.2788333486663976</v>
      </c>
      <c r="X206" s="590">
        <f t="shared" si="116"/>
        <v>-116.92925620302587</v>
      </c>
      <c r="Y206" s="593">
        <f t="shared" si="117"/>
        <v>63.070743796974128</v>
      </c>
      <c r="AA206" s="150">
        <f t="shared" si="118"/>
        <v>1000000000</v>
      </c>
      <c r="AB206" s="150">
        <f t="shared" si="119"/>
        <v>138039001</v>
      </c>
      <c r="AD206" s="592">
        <f t="shared" si="120"/>
        <v>27.644097244643</v>
      </c>
      <c r="AE206" s="593">
        <f t="shared" si="121"/>
        <v>-9.8176861044377244</v>
      </c>
      <c r="AG206" s="592">
        <f t="shared" si="122"/>
        <v>6.153746641463357</v>
      </c>
      <c r="AH206" s="593">
        <f t="shared" si="123"/>
        <v>-90.252706941522888</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5">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1.0311101240365621</v>
      </c>
      <c r="N207" s="585">
        <f t="shared" si="110"/>
        <v>-0.24626992427738689</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8.2301759073915051</v>
      </c>
      <c r="X207" s="590">
        <f t="shared" si="116"/>
        <v>-117.06589163760394</v>
      </c>
      <c r="Y207" s="593">
        <f t="shared" si="117"/>
        <v>62.93410836239606</v>
      </c>
      <c r="AA207" s="150">
        <f t="shared" si="118"/>
        <v>1000000000</v>
      </c>
      <c r="AB207" s="150">
        <f t="shared" si="119"/>
        <v>139653306.25</v>
      </c>
      <c r="AD207" s="592">
        <f t="shared" si="120"/>
        <v>27.643289003392859</v>
      </c>
      <c r="AE207" s="593">
        <f t="shared" si="121"/>
        <v>-9.8003389294098735</v>
      </c>
      <c r="AG207" s="592">
        <f t="shared" si="122"/>
        <v>6.1073393378809389</v>
      </c>
      <c r="AH207" s="593">
        <f t="shared" si="123"/>
        <v>-90.309093736014518</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5">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1.031466310154546</v>
      </c>
      <c r="N208" s="585">
        <f t="shared" si="110"/>
        <v>-0.2476399307044177</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8.1818248026184133</v>
      </c>
      <c r="X208" s="590">
        <f t="shared" si="116"/>
        <v>-117.20255844937179</v>
      </c>
      <c r="Y208" s="593">
        <f t="shared" si="117"/>
        <v>62.797441550628207</v>
      </c>
      <c r="AA208" s="150">
        <f t="shared" si="118"/>
        <v>1000000000</v>
      </c>
      <c r="AB208" s="150">
        <f t="shared" si="119"/>
        <v>141276996</v>
      </c>
      <c r="AD208" s="592">
        <f t="shared" si="120"/>
        <v>27.642490544199458</v>
      </c>
      <c r="AE208" s="593">
        <f t="shared" si="121"/>
        <v>-9.7834122148084859</v>
      </c>
      <c r="AG208" s="592">
        <f t="shared" si="122"/>
        <v>6.0612367491405443</v>
      </c>
      <c r="AH208" s="593">
        <f t="shared" si="123"/>
        <v>-90.365103447078141</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5">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1.0318244309110931</v>
      </c>
      <c r="N209" s="585">
        <f t="shared" si="110"/>
        <v>-0.24900898870883767</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8.1337765525036669</v>
      </c>
      <c r="X209" s="590">
        <f t="shared" si="116"/>
        <v>-117.33925483917699</v>
      </c>
      <c r="Y209" s="593">
        <f t="shared" si="117"/>
        <v>62.660745160823012</v>
      </c>
      <c r="AA209" s="150">
        <f t="shared" si="118"/>
        <v>1000000000</v>
      </c>
      <c r="AB209" s="150">
        <f t="shared" si="119"/>
        <v>142910070.25</v>
      </c>
      <c r="AD209" s="592">
        <f t="shared" si="120"/>
        <v>27.641701622849023</v>
      </c>
      <c r="AE209" s="593">
        <f t="shared" si="121"/>
        <v>-9.7668988329557944</v>
      </c>
      <c r="AG209" s="592">
        <f t="shared" si="122"/>
        <v>6.0154356338278427</v>
      </c>
      <c r="AH209" s="593">
        <f t="shared" si="123"/>
        <v>-90.420741468763595</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5">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1.0321844842925103</v>
      </c>
      <c r="N210" s="585">
        <f t="shared" si="110"/>
        <v>-0.25037709414840059</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8.0860277352861214</v>
      </c>
      <c r="X210" s="590">
        <f t="shared" si="116"/>
        <v>-117.47597904201935</v>
      </c>
      <c r="Y210" s="593">
        <f t="shared" si="117"/>
        <v>62.524020957980653</v>
      </c>
      <c r="AA210" s="150">
        <f t="shared" si="118"/>
        <v>1000000000</v>
      </c>
      <c r="AB210" s="150">
        <f t="shared" si="119"/>
        <v>144552529</v>
      </c>
      <c r="AD210" s="592">
        <f t="shared" si="120"/>
        <v>27.640922001985196</v>
      </c>
      <c r="AE210" s="593">
        <f t="shared" si="121"/>
        <v>-9.7507918152108228</v>
      </c>
      <c r="AG210" s="592">
        <f t="shared" si="122"/>
        <v>5.9699328037335899</v>
      </c>
      <c r="AH210" s="593">
        <f t="shared" si="123"/>
        <v>-90.476013070169699</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5">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1.0325544165192244</v>
      </c>
      <c r="N211" s="585">
        <f t="shared" si="110"/>
        <v>-0.25177416972978961</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8.0375391642287166</v>
      </c>
      <c r="X211" s="590">
        <f t="shared" si="116"/>
        <v>-117.61572413689048</v>
      </c>
      <c r="Y211" s="593">
        <f t="shared" si="117"/>
        <v>62.384275863109522</v>
      </c>
      <c r="AA211" s="150">
        <f t="shared" si="118"/>
        <v>1000000000</v>
      </c>
      <c r="AB211" s="150">
        <f t="shared" si="119"/>
        <v>146240649</v>
      </c>
      <c r="AD211" s="592">
        <f t="shared" si="120"/>
        <v>27.640134677273327</v>
      </c>
      <c r="AE211" s="593">
        <f t="shared" si="121"/>
        <v>-9.7347448083383608</v>
      </c>
      <c r="AG211" s="592">
        <f t="shared" si="122"/>
        <v>5.9237384524332173</v>
      </c>
      <c r="AH211" s="593">
        <f t="shared" si="123"/>
        <v>-90.532121810907284</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5">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1.0329263626606298</v>
      </c>
      <c r="N212" s="585">
        <f t="shared" si="110"/>
        <v>-0.25317024188938253</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7.9893562447058848</v>
      </c>
      <c r="X212" s="590">
        <f t="shared" si="116"/>
        <v>-117.75549465494385</v>
      </c>
      <c r="Y212" s="593">
        <f t="shared" si="117"/>
        <v>62.244505345056155</v>
      </c>
      <c r="AA212" s="150">
        <f t="shared" si="118"/>
        <v>1000000000</v>
      </c>
      <c r="AB212" s="150">
        <f t="shared" si="119"/>
        <v>147938569</v>
      </c>
      <c r="AD212" s="592">
        <f t="shared" si="120"/>
        <v>27.639356584600215</v>
      </c>
      <c r="AE212" s="593">
        <f t="shared" si="121"/>
        <v>-9.7191079329757706</v>
      </c>
      <c r="AG212" s="592">
        <f t="shared" si="122"/>
        <v>5.8778490263071106</v>
      </c>
      <c r="AH212" s="593">
        <f t="shared" si="123"/>
        <v>-90.587858649189499</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5">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1.033300320541944</v>
      </c>
      <c r="N213" s="585">
        <f t="shared" si="110"/>
        <v>-0.25456530627176399</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7.941475510733893</v>
      </c>
      <c r="X213" s="590">
        <f t="shared" si="116"/>
        <v>-117.89528881762084</v>
      </c>
      <c r="Y213" s="593">
        <f t="shared" si="117"/>
        <v>62.104711182379162</v>
      </c>
      <c r="AA213" s="150">
        <f t="shared" si="118"/>
        <v>1000000000</v>
      </c>
      <c r="AB213" s="150">
        <f t="shared" si="119"/>
        <v>149646289</v>
      </c>
      <c r="AD213" s="592">
        <f t="shared" si="120"/>
        <v>27.638587491408735</v>
      </c>
      <c r="AE213" s="593">
        <f t="shared" si="121"/>
        <v>-9.7038742392327819</v>
      </c>
      <c r="AG213" s="592">
        <f t="shared" si="122"/>
        <v>5.8322612878047124</v>
      </c>
      <c r="AH213" s="593">
        <f t="shared" si="123"/>
        <v>-90.643228825978312</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5">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1.0336762879797772</v>
      </c>
      <c r="N214" s="585">
        <f t="shared" si="110"/>
        <v>-0.255959358543495</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7.8938935559638335</v>
      </c>
      <c r="X214" s="590">
        <f t="shared" si="116"/>
        <v>-118.03510487993275</v>
      </c>
      <c r="Y214" s="593">
        <f t="shared" si="117"/>
        <v>61.964895120067254</v>
      </c>
      <c r="AA214" s="150">
        <f t="shared" si="118"/>
        <v>1000000000</v>
      </c>
      <c r="AB214" s="150">
        <f t="shared" si="119"/>
        <v>151363809</v>
      </c>
      <c r="AD214" s="592">
        <f t="shared" si="120"/>
        <v>27.637827171667141</v>
      </c>
      <c r="AE214" s="593">
        <f t="shared" si="121"/>
        <v>-9.6890369322121863</v>
      </c>
      <c r="AG214" s="592">
        <f t="shared" si="122"/>
        <v>5.7869720524637671</v>
      </c>
      <c r="AH214" s="593">
        <f t="shared" si="123"/>
        <v>-90.69823746073719</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5">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1.0340623841943843</v>
      </c>
      <c r="N215" s="585">
        <f t="shared" si="110"/>
        <v>-0.25738223400609583</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7.8455969584418073</v>
      </c>
      <c r="X215" s="590">
        <f t="shared" si="116"/>
        <v>-118.17793782914913</v>
      </c>
      <c r="Y215" s="593">
        <f t="shared" si="117"/>
        <v>61.82206217085087</v>
      </c>
      <c r="AA215" s="150">
        <f t="shared" si="118"/>
        <v>1000000000</v>
      </c>
      <c r="AB215" s="150">
        <f t="shared" si="119"/>
        <v>153128250.25</v>
      </c>
      <c r="AD215" s="592">
        <f t="shared" si="120"/>
        <v>27.637059388404218</v>
      </c>
      <c r="AE215" s="593">
        <f t="shared" si="121"/>
        <v>-9.6742839941802021</v>
      </c>
      <c r="AG215" s="592">
        <f t="shared" si="122"/>
        <v>5.7410172431872075</v>
      </c>
      <c r="AH215" s="593">
        <f t="shared" si="123"/>
        <v>-90.754056805459584</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5">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1.0344505723801647</v>
      </c>
      <c r="N216" s="585">
        <f t="shared" si="110"/>
        <v>-0.25880404444824379</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7.7976050825407297</v>
      </c>
      <c r="X216" s="590">
        <f t="shared" si="116"/>
        <v>-118.32079004989444</v>
      </c>
      <c r="Y216" s="593">
        <f t="shared" si="117"/>
        <v>61.679209950105559</v>
      </c>
      <c r="AA216" s="150">
        <f t="shared" si="118"/>
        <v>1000000000</v>
      </c>
      <c r="AB216" s="150">
        <f t="shared" si="119"/>
        <v>154902916</v>
      </c>
      <c r="AD216" s="592">
        <f t="shared" si="120"/>
        <v>27.636300301817336</v>
      </c>
      <c r="AE216" s="593">
        <f t="shared" si="121"/>
        <v>-9.6599307587404049</v>
      </c>
      <c r="AG216" s="592">
        <f t="shared" si="122"/>
        <v>5.6953673155308611</v>
      </c>
      <c r="AH216" s="593">
        <f t="shared" si="123"/>
        <v>-90.809509371355446</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5">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1.0348408501829056</v>
      </c>
      <c r="N217" s="585">
        <f t="shared" si="110"/>
        <v>-0.26022478532320548</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7.7499144820716257</v>
      </c>
      <c r="X217" s="590">
        <f t="shared" si="116"/>
        <v>-118.4636597855875</v>
      </c>
      <c r="Y217" s="593">
        <f t="shared" si="117"/>
        <v>61.536340214412505</v>
      </c>
      <c r="AA217" s="150">
        <f t="shared" si="118"/>
        <v>1000000000</v>
      </c>
      <c r="AB217" s="150">
        <f t="shared" si="119"/>
        <v>156687806.25</v>
      </c>
      <c r="AD217" s="592">
        <f t="shared" si="120"/>
        <v>27.635549690731942</v>
      </c>
      <c r="AE217" s="593">
        <f t="shared" si="121"/>
        <v>-9.6459704582711971</v>
      </c>
      <c r="AG217" s="592">
        <f t="shared" si="122"/>
        <v>5.6500190399937322</v>
      </c>
      <c r="AH217" s="593">
        <f t="shared" si="123"/>
        <v>-90.864600243341059</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5">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1.0352332152392816</v>
      </c>
      <c r="N218" s="585">
        <f t="shared" si="110"/>
        <v>-0.26164445210835696</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7.7025217699408843</v>
      </c>
      <c r="X218" s="590">
        <f t="shared" si="116"/>
        <v>-118.60654531259409</v>
      </c>
      <c r="Y218" s="593">
        <f t="shared" si="117"/>
        <v>61.393454687405907</v>
      </c>
      <c r="AA218" s="150">
        <f t="shared" si="118"/>
        <v>1000000000</v>
      </c>
      <c r="AB218" s="150">
        <f t="shared" si="119"/>
        <v>158482921</v>
      </c>
      <c r="AD218" s="592">
        <f t="shared" si="120"/>
        <v>27.634807340172308</v>
      </c>
      <c r="AE218" s="593">
        <f t="shared" si="121"/>
        <v>-9.6323964759341543</v>
      </c>
      <c r="AG218" s="592">
        <f t="shared" si="122"/>
        <v>5.6049692399481827</v>
      </c>
      <c r="AH218" s="593">
        <f t="shared" si="123"/>
        <v>-90.919334388413034</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5">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1.0356373456646493</v>
      </c>
      <c r="N219" s="585">
        <f t="shared" si="110"/>
        <v>-0.2630977474348849</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7.6542745299496193</v>
      </c>
      <c r="X219" s="590">
        <f t="shared" si="116"/>
        <v>-118.75294264536646</v>
      </c>
      <c r="Y219" s="593">
        <f t="shared" si="117"/>
        <v>61.24705735463354</v>
      </c>
      <c r="AA219" s="150">
        <f t="shared" si="118"/>
        <v>1000000000</v>
      </c>
      <c r="AB219" s="150">
        <f t="shared" si="119"/>
        <v>160332575.0625</v>
      </c>
      <c r="AD219" s="592">
        <f t="shared" si="120"/>
        <v>27.63405516801495</v>
      </c>
      <c r="AE219" s="593">
        <f t="shared" si="121"/>
        <v>-9.6188841165890668</v>
      </c>
      <c r="AG219" s="592">
        <f t="shared" si="122"/>
        <v>5.5591230786401304</v>
      </c>
      <c r="AH219" s="593">
        <f t="shared" si="123"/>
        <v>-90.975043322352306</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5">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1.03604366171667</v>
      </c>
      <c r="N220" s="585">
        <f t="shared" si="110"/>
        <v>-0.26454990591848832</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7.606332926117318</v>
      </c>
      <c r="X220" s="590">
        <f t="shared" si="116"/>
        <v>-118.89935299197134</v>
      </c>
      <c r="Y220" s="593">
        <f t="shared" si="117"/>
        <v>61.100647008028659</v>
      </c>
      <c r="AA220" s="150">
        <f t="shared" si="118"/>
        <v>1000000000</v>
      </c>
      <c r="AB220" s="150">
        <f t="shared" si="119"/>
        <v>162192960.25</v>
      </c>
      <c r="AD220" s="592">
        <f t="shared" si="120"/>
        <v>27.633311227975188</v>
      </c>
      <c r="AE220" s="593">
        <f t="shared" si="121"/>
        <v>-9.6057636253954737</v>
      </c>
      <c r="AG220" s="592">
        <f t="shared" si="122"/>
        <v>5.5135835977992365</v>
      </c>
      <c r="AH220" s="593">
        <f t="shared" si="123"/>
        <v>-91.030388042185407</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5">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1.0364521608248776</v>
      </c>
      <c r="N221" s="585">
        <f t="shared" si="110"/>
        <v>-0.26600092277527781</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7.5586935006362541</v>
      </c>
      <c r="X221" s="590">
        <f t="shared" si="116"/>
        <v>-119.04577460126157</v>
      </c>
      <c r="Y221" s="593">
        <f t="shared" si="117"/>
        <v>60.95422539873843</v>
      </c>
      <c r="AA221" s="150">
        <f t="shared" si="118"/>
        <v>1000000000</v>
      </c>
      <c r="AB221" s="150">
        <f t="shared" si="119"/>
        <v>164064076.5625</v>
      </c>
      <c r="AD221" s="592">
        <f t="shared" si="120"/>
        <v>27.632575307814822</v>
      </c>
      <c r="AE221" s="593">
        <f t="shared" si="121"/>
        <v>-9.593028353152361</v>
      </c>
      <c r="AG221" s="592">
        <f t="shared" si="122"/>
        <v>5.4683475469316125</v>
      </c>
      <c r="AH221" s="593">
        <f t="shared" si="123"/>
        <v>-91.085373525032395</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5">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1.0368628404090563</v>
      </c>
      <c r="N222" s="585">
        <f t="shared" si="110"/>
        <v>-0.26745079324811144</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7.5113528549670852</v>
      </c>
      <c r="X222" s="590">
        <f t="shared" si="116"/>
        <v>-119.19220575482099</v>
      </c>
      <c r="Y222" s="593">
        <f t="shared" si="117"/>
        <v>60.807794245179011</v>
      </c>
      <c r="AA222" s="150">
        <f t="shared" si="118"/>
        <v>1000000000</v>
      </c>
      <c r="AB222" s="150">
        <f t="shared" si="119"/>
        <v>165945924</v>
      </c>
      <c r="AD222" s="592">
        <f t="shared" si="120"/>
        <v>27.631847201254644</v>
      </c>
      <c r="AE222" s="593">
        <f t="shared" si="121"/>
        <v>-9.5806717990917836</v>
      </c>
      <c r="AG222" s="592">
        <f t="shared" si="122"/>
        <v>5.4234117288274453</v>
      </c>
      <c r="AH222" s="593">
        <f t="shared" si="123"/>
        <v>-91.140004632218904</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5">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1.0372870009576509</v>
      </c>
      <c r="N223" s="585">
        <f t="shared" si="110"/>
        <v>-0.268939051895421</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7.4630272498817725</v>
      </c>
      <c r="X223" s="590">
        <f t="shared" si="116"/>
        <v>-119.34264319535663</v>
      </c>
      <c r="Y223" s="593">
        <f t="shared" si="117"/>
        <v>60.657356804643371</v>
      </c>
      <c r="AA223" s="150">
        <f t="shared" si="118"/>
        <v>1000000000</v>
      </c>
      <c r="AB223" s="150">
        <f t="shared" si="119"/>
        <v>167890327.5625</v>
      </c>
      <c r="AD223" s="592">
        <f t="shared" si="120"/>
        <v>27.631107140508824</v>
      </c>
      <c r="AE223" s="593">
        <f t="shared" si="121"/>
        <v>-9.5683655563324876</v>
      </c>
      <c r="AG223" s="592">
        <f t="shared" si="122"/>
        <v>5.377558330566429</v>
      </c>
      <c r="AH223" s="593">
        <f t="shared" si="123"/>
        <v>-91.195763341583344</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5">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1.0377134571263869</v>
      </c>
      <c r="N224" s="585">
        <f t="shared" si="110"/>
        <v>-0.27042609061192024</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7.4150098780188767</v>
      </c>
      <c r="X224" s="590">
        <f t="shared" si="116"/>
        <v>-119.49308713444407</v>
      </c>
      <c r="Y224" s="593">
        <f t="shared" si="117"/>
        <v>60.506912865555933</v>
      </c>
      <c r="AA224" s="150">
        <f t="shared" si="118"/>
        <v>1000000000</v>
      </c>
      <c r="AB224" s="150">
        <f t="shared" si="119"/>
        <v>169846056.25</v>
      </c>
      <c r="AD224" s="592">
        <f t="shared" si="120"/>
        <v>27.630374902998057</v>
      </c>
      <c r="AE224" s="593">
        <f t="shared" si="121"/>
        <v>-9.5564455500710785</v>
      </c>
      <c r="AG224" s="592">
        <f t="shared" si="122"/>
        <v>5.3320151111041074</v>
      </c>
      <c r="AH224" s="593">
        <f t="shared" si="123"/>
        <v>-91.251158099039174</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5">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1.0381422060862255</v>
      </c>
      <c r="N225" s="585">
        <f t="shared" si="110"/>
        <v>-0.27191190432854417</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7.36729724123491</v>
      </c>
      <c r="X225" s="590">
        <f t="shared" si="116"/>
        <v>-119.64353581152128</v>
      </c>
      <c r="Y225" s="593">
        <f t="shared" si="117"/>
        <v>60.356464188478725</v>
      </c>
      <c r="AA225" s="150">
        <f t="shared" si="118"/>
        <v>1000000000</v>
      </c>
      <c r="AB225" s="150">
        <f t="shared" si="119"/>
        <v>171813110.0625</v>
      </c>
      <c r="AD225" s="592">
        <f t="shared" si="120"/>
        <v>27.629650283434227</v>
      </c>
      <c r="AE225" s="593">
        <f t="shared" si="121"/>
        <v>-9.5449051949696653</v>
      </c>
      <c r="AG225" s="592">
        <f t="shared" si="122"/>
        <v>5.2867787721355626</v>
      </c>
      <c r="AH225" s="593">
        <f t="shared" si="123"/>
        <v>-91.306193814669811</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5">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1.0385732449976033</v>
      </c>
      <c r="N226" s="585">
        <f t="shared" si="110"/>
        <v>-0.27339648800621086</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7.3198859014772379</v>
      </c>
      <c r="X226" s="590">
        <f t="shared" si="116"/>
        <v>-119.79398749890666</v>
      </c>
      <c r="Y226" s="593">
        <f t="shared" si="117"/>
        <v>60.20601250109334</v>
      </c>
      <c r="AA226" s="150">
        <f t="shared" si="118"/>
        <v>1000000000</v>
      </c>
      <c r="AB226" s="150">
        <f t="shared" si="119"/>
        <v>173791489</v>
      </c>
      <c r="AD226" s="592">
        <f t="shared" si="120"/>
        <v>27.628933082318689</v>
      </c>
      <c r="AE226" s="593">
        <f t="shared" si="121"/>
        <v>-9.533738053370918</v>
      </c>
      <c r="AG226" s="592">
        <f t="shared" si="122"/>
        <v>5.2418460696293554</v>
      </c>
      <c r="AH226" s="593">
        <f t="shared" si="123"/>
        <v>-91.360875283649747</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5">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1.0390152319682036</v>
      </c>
      <c r="N227" s="585">
        <f t="shared" si="110"/>
        <v>-0.27490939245813928</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7.2718363470440952</v>
      </c>
      <c r="X227" s="590">
        <f t="shared" si="116"/>
        <v>-119.94743956604647</v>
      </c>
      <c r="Y227" s="593">
        <f t="shared" si="117"/>
        <v>60.052560433953531</v>
      </c>
      <c r="AA227" s="150">
        <f t="shared" si="118"/>
        <v>1000000000</v>
      </c>
      <c r="AB227" s="150">
        <f t="shared" si="119"/>
        <v>175820970.0625</v>
      </c>
      <c r="AD227" s="592">
        <f t="shared" si="120"/>
        <v>27.628209025532875</v>
      </c>
      <c r="AE227" s="593">
        <f t="shared" si="121"/>
        <v>-9.5227262319179253</v>
      </c>
      <c r="AG227" s="592">
        <f t="shared" si="122"/>
        <v>5.1963271656797776</v>
      </c>
      <c r="AH227" s="593">
        <f t="shared" si="123"/>
        <v>-91.416286695567152</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5">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1.0394595950942449</v>
      </c>
      <c r="N228" s="585">
        <f t="shared" si="110"/>
        <v>-0.27642100685123777</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7.2240931819125684</v>
      </c>
      <c r="X228" s="590">
        <f t="shared" si="116"/>
        <v>-120.1008912352909</v>
      </c>
      <c r="Y228" s="593">
        <f t="shared" si="117"/>
        <v>59.899108764709098</v>
      </c>
      <c r="AA228" s="150">
        <f t="shared" si="118"/>
        <v>1000000000</v>
      </c>
      <c r="AB228" s="150">
        <f t="shared" si="119"/>
        <v>177862232.25</v>
      </c>
      <c r="AD228" s="592">
        <f t="shared" si="120"/>
        <v>27.627492284265283</v>
      </c>
      <c r="AE228" s="593">
        <f t="shared" si="121"/>
        <v>-9.5120895757121193</v>
      </c>
      <c r="AG228" s="592">
        <f t="shared" si="122"/>
        <v>5.1511174746957114</v>
      </c>
      <c r="AH228" s="593">
        <f t="shared" si="123"/>
        <v>-91.471339322052316</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5">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1.0399063313296575</v>
      </c>
      <c r="N229" s="585">
        <f t="shared" si="110"/>
        <v>-0.27793132593570657</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7.1766529426255943</v>
      </c>
      <c r="X229" s="590">
        <f t="shared" si="116"/>
        <v>-120.2543407739674</v>
      </c>
      <c r="Y229" s="593">
        <f t="shared" si="117"/>
        <v>59.7456592260326</v>
      </c>
      <c r="AA229" s="150">
        <f t="shared" si="118"/>
        <v>1000000000</v>
      </c>
      <c r="AB229" s="150">
        <f t="shared" si="119"/>
        <v>179915275.5625</v>
      </c>
      <c r="AD229" s="592">
        <f t="shared" si="120"/>
        <v>27.626782664232799</v>
      </c>
      <c r="AE229" s="593">
        <f t="shared" si="121"/>
        <v>-9.50182170311923</v>
      </c>
      <c r="AG229" s="592">
        <f t="shared" si="122"/>
        <v>5.1062137216019945</v>
      </c>
      <c r="AH229" s="593">
        <f t="shared" si="123"/>
        <v>-91.526037902118119</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5">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1.0403554376173496</v>
      </c>
      <c r="N230" s="585">
        <f t="shared" si="110"/>
        <v>-0.27944034449437632</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7.1295122249239675</v>
      </c>
      <c r="X230" s="590">
        <f t="shared" si="116"/>
        <v>-120.40778648150631</v>
      </c>
      <c r="Y230" s="593">
        <f t="shared" si="117"/>
        <v>59.592213518493693</v>
      </c>
      <c r="AA230" s="150">
        <f t="shared" si="118"/>
        <v>1000000000</v>
      </c>
      <c r="AB230" s="150">
        <f t="shared" si="119"/>
        <v>181980100</v>
      </c>
      <c r="AD230" s="592">
        <f t="shared" si="120"/>
        <v>27.626079976616897</v>
      </c>
      <c r="AE230" s="593">
        <f t="shared" si="121"/>
        <v>-9.4919163752460882</v>
      </c>
      <c r="AG230" s="592">
        <f t="shared" si="122"/>
        <v>5.0616126850267928</v>
      </c>
      <c r="AH230" s="593">
        <f t="shared" si="123"/>
        <v>-91.580387064018723</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5">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1.0408172326444138</v>
      </c>
      <c r="N231" s="585">
        <f t="shared" si="110"/>
        <v>-0.28098241989420514</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7.0816029933808213</v>
      </c>
      <c r="X231" s="590">
        <f t="shared" si="116"/>
        <v>-120.56472524819287</v>
      </c>
      <c r="Y231" s="593">
        <f t="shared" si="117"/>
        <v>59.435274751807128</v>
      </c>
      <c r="AA231" s="150">
        <f t="shared" si="118"/>
        <v>1000000000</v>
      </c>
      <c r="AB231" s="150">
        <f t="shared" si="119"/>
        <v>184104192.25</v>
      </c>
      <c r="AD231" s="592">
        <f t="shared" si="120"/>
        <v>27.625368246854258</v>
      </c>
      <c r="AE231" s="593">
        <f t="shared" si="121"/>
        <v>-9.4821538742043163</v>
      </c>
      <c r="AG231" s="592">
        <f t="shared" si="122"/>
        <v>5.0163045327462648</v>
      </c>
      <c r="AH231" s="593">
        <f t="shared" si="123"/>
        <v>-91.635618709198823</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5">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1.0412815005325085</v>
      </c>
      <c r="N232" s="585">
        <f t="shared" si="110"/>
        <v>-0.2825231238493574</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7.0340000780959508</v>
      </c>
      <c r="X232" s="590">
        <f t="shared" si="116"/>
        <v>-120.72165650781186</v>
      </c>
      <c r="Y232" s="593">
        <f t="shared" si="117"/>
        <v>59.278343492188142</v>
      </c>
      <c r="AA232" s="150">
        <f t="shared" si="118"/>
        <v>1000000000</v>
      </c>
      <c r="AB232" s="150">
        <f t="shared" si="119"/>
        <v>186240609</v>
      </c>
      <c r="AD232" s="592">
        <f t="shared" si="120"/>
        <v>27.624663386410564</v>
      </c>
      <c r="AE232" s="593">
        <f t="shared" si="121"/>
        <v>-9.4727578774577808</v>
      </c>
      <c r="AG232" s="592">
        <f t="shared" si="122"/>
        <v>4.971306409206921</v>
      </c>
      <c r="AH232" s="593">
        <f t="shared" si="123"/>
        <v>-91.690494272764255</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5">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1.0417482379754512</v>
      </c>
      <c r="N233" s="585">
        <f t="shared" si="110"/>
        <v>-0.28406245088379417</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6.9867000199959328</v>
      </c>
      <c r="X233" s="590">
        <f t="shared" si="116"/>
        <v>-120.87857853982004</v>
      </c>
      <c r="Y233" s="593">
        <f t="shared" si="117"/>
        <v>59.12142146017996</v>
      </c>
      <c r="AA233" s="150">
        <f t="shared" si="118"/>
        <v>1000000000</v>
      </c>
      <c r="AB233" s="150">
        <f t="shared" si="119"/>
        <v>188389350.25</v>
      </c>
      <c r="AD233" s="592">
        <f t="shared" si="120"/>
        <v>27.623965209828029</v>
      </c>
      <c r="AE233" s="593">
        <f t="shared" si="121"/>
        <v>-9.463722147578423</v>
      </c>
      <c r="AG233" s="592">
        <f t="shared" si="122"/>
        <v>4.9266150343498616</v>
      </c>
      <c r="AH233" s="593">
        <f t="shared" si="123"/>
        <v>-91.745018367438433</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5">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1.0422174416554106</v>
      </c>
      <c r="N234" s="585">
        <f t="shared" si="110"/>
        <v>-0.28560039555736078</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6.9396994189987389</v>
      </c>
      <c r="X234" s="590">
        <f t="shared" si="116"/>
        <v>-121.03548965539096</v>
      </c>
      <c r="Y234" s="593">
        <f t="shared" si="117"/>
        <v>58.964510344609039</v>
      </c>
      <c r="AA234" s="150">
        <f t="shared" si="118"/>
        <v>1000000000</v>
      </c>
      <c r="AB234" s="150">
        <f t="shared" si="119"/>
        <v>190550416</v>
      </c>
      <c r="AD234" s="592">
        <f t="shared" si="120"/>
        <v>27.623273536865959</v>
      </c>
      <c r="AE234" s="593">
        <f t="shared" si="121"/>
        <v>-9.4550405866784732</v>
      </c>
      <c r="AG234" s="592">
        <f t="shared" si="122"/>
        <v>4.8822271818579948</v>
      </c>
      <c r="AH234" s="593">
        <f t="shared" si="123"/>
        <v>-91.799195497988421</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5">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1.0426996511424025</v>
      </c>
      <c r="N235" s="585">
        <f t="shared" si="110"/>
        <v>-0.2871711910643332</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6.8919570987124557</v>
      </c>
      <c r="X235" s="590">
        <f t="shared" si="116"/>
        <v>-121.19588577895445</v>
      </c>
      <c r="Y235" s="593">
        <f t="shared" si="117"/>
        <v>58.804114221045552</v>
      </c>
      <c r="AA235" s="150">
        <f t="shared" si="118"/>
        <v>1000000000</v>
      </c>
      <c r="AB235" s="150">
        <f t="shared" si="119"/>
        <v>192772398.0625</v>
      </c>
      <c r="AD235" s="592">
        <f t="shared" si="120"/>
        <v>27.622572984739698</v>
      </c>
      <c r="AE235" s="593">
        <f t="shared" si="121"/>
        <v>-9.4465253799101276</v>
      </c>
      <c r="AG235" s="592">
        <f t="shared" si="122"/>
        <v>4.8371602339156272</v>
      </c>
      <c r="AH235" s="593">
        <f t="shared" si="123"/>
        <v>-91.854226327634407</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5">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1.0431844310027742</v>
      </c>
      <c r="N236" s="585">
        <f t="shared" si="110"/>
        <v>-0.28874053050685095</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6.8445207328286166</v>
      </c>
      <c r="X236" s="590">
        <f t="shared" si="116"/>
        <v>-121.35626702269029</v>
      </c>
      <c r="Y236" s="593">
        <f t="shared" si="117"/>
        <v>58.64373297730971</v>
      </c>
      <c r="AA236" s="150">
        <f t="shared" si="118"/>
        <v>1000000000</v>
      </c>
      <c r="AB236" s="150">
        <f t="shared" si="119"/>
        <v>195007260.25</v>
      </c>
      <c r="AD236" s="592">
        <f t="shared" si="120"/>
        <v>27.6218788644446</v>
      </c>
      <c r="AE236" s="593">
        <f t="shared" si="121"/>
        <v>-9.4383678511611198</v>
      </c>
      <c r="AG236" s="592">
        <f t="shared" si="122"/>
        <v>4.7924038401139342</v>
      </c>
      <c r="AH236" s="593">
        <f t="shared" si="123"/>
        <v>-91.908903739536512</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5">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1.0436717776547524</v>
      </c>
      <c r="N237" s="585">
        <f t="shared" si="110"/>
        <v>-0.29030840818929976</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6.7973868712188148</v>
      </c>
      <c r="X237" s="590">
        <f t="shared" si="116"/>
        <v>-121.51663167998204</v>
      </c>
      <c r="Y237" s="593">
        <f t="shared" si="117"/>
        <v>58.483368320017959</v>
      </c>
      <c r="AA237" s="150">
        <f t="shared" si="118"/>
        <v>1000000000</v>
      </c>
      <c r="AB237" s="150">
        <f t="shared" si="119"/>
        <v>197255002.5625</v>
      </c>
      <c r="AD237" s="592">
        <f t="shared" si="120"/>
        <v>27.621190999210476</v>
      </c>
      <c r="AE237" s="593">
        <f t="shared" si="121"/>
        <v>-9.4305619130254001</v>
      </c>
      <c r="AG237" s="592">
        <f t="shared" si="122"/>
        <v>4.7479547200712418</v>
      </c>
      <c r="AH237" s="593">
        <f t="shared" si="123"/>
        <v>-91.963232216305556</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5">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1.0441616875043038</v>
      </c>
      <c r="N238" s="585">
        <f t="shared" si="110"/>
        <v>-0.29187481845541752</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6.7505521224317153</v>
      </c>
      <c r="X238" s="590">
        <f t="shared" si="116"/>
        <v>-121.67697807550549</v>
      </c>
      <c r="Y238" s="593">
        <f t="shared" si="117"/>
        <v>58.323021924494512</v>
      </c>
      <c r="AA238" s="150">
        <f t="shared" si="118"/>
        <v>1000000000</v>
      </c>
      <c r="AB238" s="150">
        <f t="shared" si="119"/>
        <v>199515625</v>
      </c>
      <c r="AD238" s="592">
        <f t="shared" si="120"/>
        <v>27.620509217238258</v>
      </c>
      <c r="AE238" s="593">
        <f t="shared" si="121"/>
        <v>-9.4231016142346711</v>
      </c>
      <c r="AG238" s="592">
        <f t="shared" si="122"/>
        <v>4.7038096470764188</v>
      </c>
      <c r="AH238" s="593">
        <f t="shared" si="123"/>
        <v>-92.017216135559707</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5">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1.0446664629859084</v>
      </c>
      <c r="N239" s="585">
        <f t="shared" si="110"/>
        <v>-0.29347873837812793</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6.7028570518165784</v>
      </c>
      <c r="X239" s="590">
        <f t="shared" si="116"/>
        <v>-121.84129997196172</v>
      </c>
      <c r="Y239" s="593">
        <f t="shared" si="117"/>
        <v>58.158700028038282</v>
      </c>
      <c r="AA239" s="150">
        <f t="shared" si="118"/>
        <v>1000000000</v>
      </c>
      <c r="AB239" s="150">
        <f t="shared" si="119"/>
        <v>201845952.5625</v>
      </c>
      <c r="AD239" s="592">
        <f t="shared" si="120"/>
        <v>27.619816581679789</v>
      </c>
      <c r="AE239" s="593">
        <f t="shared" si="121"/>
        <v>-9.41580796921372</v>
      </c>
      <c r="AG239" s="592">
        <f t="shared" si="122"/>
        <v>4.6588765721618532</v>
      </c>
      <c r="AH239" s="593">
        <f t="shared" si="123"/>
        <v>-92.072192376262024</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5">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1.0451739233338491</v>
      </c>
      <c r="N240" s="585">
        <f t="shared" si="110"/>
        <v>-0.29508110492625883</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6.6554691580917771</v>
      </c>
      <c r="X240" s="590">
        <f t="shared" si="116"/>
        <v>-122.005599218924</v>
      </c>
      <c r="Y240" s="593">
        <f t="shared" si="117"/>
        <v>57.994400781075996</v>
      </c>
      <c r="AA240" s="150">
        <f t="shared" si="118"/>
        <v>1000000000</v>
      </c>
      <c r="AB240" s="150">
        <f t="shared" si="119"/>
        <v>204189810.25</v>
      </c>
      <c r="AD240" s="592">
        <f t="shared" si="120"/>
        <v>27.619129986243696</v>
      </c>
      <c r="AE240" s="593">
        <f t="shared" si="121"/>
        <v>-9.4088651697058427</v>
      </c>
      <c r="AG240" s="592">
        <f t="shared" si="122"/>
        <v>4.6142561923758709</v>
      </c>
      <c r="AH240" s="593">
        <f t="shared" si="123"/>
        <v>-92.126815657534735</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5">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1.0456840646393064</v>
      </c>
      <c r="N241" s="585">
        <f t="shared" si="110"/>
        <v>-0.29668191213892947</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6.6083849729967623</v>
      </c>
      <c r="X241" s="590">
        <f t="shared" si="116"/>
        <v>-122.16987410994989</v>
      </c>
      <c r="Y241" s="593">
        <f t="shared" si="117"/>
        <v>57.830125890050113</v>
      </c>
      <c r="AA241" s="150">
        <f t="shared" si="118"/>
        <v>1000000000</v>
      </c>
      <c r="AB241" s="150">
        <f t="shared" si="119"/>
        <v>206547198.0625</v>
      </c>
      <c r="AD241" s="592">
        <f t="shared" si="120"/>
        <v>27.618449261149681</v>
      </c>
      <c r="AE241" s="593">
        <f t="shared" si="121"/>
        <v>-9.402267229094468</v>
      </c>
      <c r="AG241" s="592">
        <f t="shared" si="122"/>
        <v>4.5699452015236472</v>
      </c>
      <c r="AH241" s="593">
        <f t="shared" si="123"/>
        <v>-92.181090368535664</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5">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1.0461968829804553</v>
      </c>
      <c r="N242" s="585">
        <f t="shared" si="110"/>
        <v>-0.29828115409882222</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6.5616010872400725</v>
      </c>
      <c r="X242" s="590">
        <f t="shared" si="116"/>
        <v>-122.33412296980637</v>
      </c>
      <c r="Y242" s="593">
        <f t="shared" si="117"/>
        <v>57.665877030193627</v>
      </c>
      <c r="AA242" s="150">
        <f t="shared" si="118"/>
        <v>1000000000</v>
      </c>
      <c r="AB242" s="150">
        <f t="shared" si="119"/>
        <v>208918116</v>
      </c>
      <c r="AD242" s="592">
        <f t="shared" si="120"/>
        <v>27.617774241402557</v>
      </c>
      <c r="AE242" s="593">
        <f t="shared" si="121"/>
        <v>-9.3960082949349211</v>
      </c>
      <c r="AG242" s="592">
        <f t="shared" si="122"/>
        <v>4.5259403475562694</v>
      </c>
      <c r="AH242" s="593">
        <f t="shared" si="123"/>
        <v>-92.235020795296364</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5">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1.047255802308698</v>
      </c>
      <c r="N243" s="585">
        <f t="shared" si="110"/>
        <v>-0.30155250008449053</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6.4666818124130012</v>
      </c>
      <c r="X243" s="590">
        <f t="shared" si="116"/>
        <v>-122.67052028795484</v>
      </c>
      <c r="Y243" s="593">
        <f t="shared" si="117"/>
        <v>57.329479712045156</v>
      </c>
      <c r="AA243" s="150">
        <f t="shared" si="118"/>
        <v>1000000000</v>
      </c>
      <c r="AB243" s="150">
        <f t="shared" si="119"/>
        <v>213817506.25</v>
      </c>
      <c r="AD243" s="592">
        <f t="shared" si="120"/>
        <v>27.616408519734406</v>
      </c>
      <c r="AE243" s="593">
        <f t="shared" si="121"/>
        <v>-9.3842207034030842</v>
      </c>
      <c r="AG243" s="592">
        <f t="shared" si="122"/>
        <v>4.4367331540997554</v>
      </c>
      <c r="AH243" s="593">
        <f t="shared" si="123"/>
        <v>-92.34444682003766</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5">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1.0477894583728309</v>
      </c>
      <c r="N244" s="585">
        <f t="shared" si="110"/>
        <v>-0.30318568476824731</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6.4196807301780359</v>
      </c>
      <c r="X244" s="590">
        <f t="shared" si="116"/>
        <v>-122.83867108307412</v>
      </c>
      <c r="Y244" s="593">
        <f t="shared" si="117"/>
        <v>57.161328916925882</v>
      </c>
      <c r="AA244" s="150">
        <f t="shared" si="118"/>
        <v>1000000000</v>
      </c>
      <c r="AB244" s="150">
        <f t="shared" si="119"/>
        <v>216288495.5625</v>
      </c>
      <c r="AD244" s="592">
        <f t="shared" si="120"/>
        <v>27.615733971826138</v>
      </c>
      <c r="AE244" s="593">
        <f t="shared" si="121"/>
        <v>-9.3788365496408108</v>
      </c>
      <c r="AG244" s="592">
        <f t="shared" si="122"/>
        <v>4.3925979328940992</v>
      </c>
      <c r="AH244" s="593">
        <f t="shared" si="123"/>
        <v>-92.398635451153893</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5">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1.0483259063479027</v>
      </c>
      <c r="N245" s="585">
        <f t="shared" si="110"/>
        <v>-0.30481720233773391</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6.3729807699360608</v>
      </c>
      <c r="X245" s="590">
        <f t="shared" si="116"/>
        <v>-123.0067877285265</v>
      </c>
      <c r="Y245" s="593">
        <f t="shared" si="117"/>
        <v>56.993212271473496</v>
      </c>
      <c r="AA245" s="150">
        <f t="shared" si="118"/>
        <v>1000000000</v>
      </c>
      <c r="AB245" s="150">
        <f t="shared" si="119"/>
        <v>218773681</v>
      </c>
      <c r="AD245" s="592">
        <f t="shared" si="120"/>
        <v>27.615064753475597</v>
      </c>
      <c r="AE245" s="593">
        <f t="shared" si="121"/>
        <v>-9.3737844543939879</v>
      </c>
      <c r="AG245" s="592">
        <f t="shared" si="122"/>
        <v>4.3487705816521158</v>
      </c>
      <c r="AH245" s="593">
        <f t="shared" si="123"/>
        <v>-92.452480112253212</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5">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1.04887797663308</v>
      </c>
      <c r="N246" s="585">
        <f t="shared" si="110"/>
        <v>-0.30648571695687965</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6.3254806230857907</v>
      </c>
      <c r="X246" s="590">
        <f t="shared" si="116"/>
        <v>-123.1788581838597</v>
      </c>
      <c r="Y246" s="593">
        <f t="shared" si="117"/>
        <v>56.821141816140297</v>
      </c>
      <c r="AA246" s="150">
        <f t="shared" si="118"/>
        <v>1000000000</v>
      </c>
      <c r="AB246" s="150">
        <f t="shared" si="119"/>
        <v>221332567.5625</v>
      </c>
      <c r="AD246" s="592">
        <f t="shared" si="120"/>
        <v>27.614385009016193</v>
      </c>
      <c r="AE246" s="593">
        <f t="shared" si="121"/>
        <v>-9.3689505414841072</v>
      </c>
      <c r="AG246" s="592">
        <f t="shared" si="122"/>
        <v>4.3042183779942729</v>
      </c>
      <c r="AH246" s="593">
        <f t="shared" si="123"/>
        <v>-92.507250939245353</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5">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1.0494329638557205</v>
      </c>
      <c r="N247" s="585">
        <f t="shared" si="110"/>
        <v>-0.30815247144135177</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6.2782889920260363</v>
      </c>
      <c r="X247" s="590">
        <f t="shared" si="116"/>
        <v>-123.35088939810456</v>
      </c>
      <c r="Y247" s="593">
        <f t="shared" si="117"/>
        <v>56.649110601895444</v>
      </c>
      <c r="AA247" s="150">
        <f t="shared" si="118"/>
        <v>1000000000</v>
      </c>
      <c r="AB247" s="150">
        <f t="shared" si="119"/>
        <v>223906332.25</v>
      </c>
      <c r="AD247" s="592">
        <f t="shared" si="120"/>
        <v>27.613710528824011</v>
      </c>
      <c r="AE247" s="593">
        <f t="shared" si="121"/>
        <v>-9.3644528642590483</v>
      </c>
      <c r="AG247" s="592">
        <f t="shared" si="122"/>
        <v>4.2599820654475726</v>
      </c>
      <c r="AH247" s="593">
        <f t="shared" si="123"/>
        <v>-92.561669841893561</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5">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1.0499908633904613</v>
      </c>
      <c r="N248" s="585">
        <f t="shared" si="110"/>
        <v>-0.30981745932882465</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6.2314023897201132</v>
      </c>
      <c r="X248" s="590">
        <f t="shared" si="116"/>
        <v>-123.52287967306863</v>
      </c>
      <c r="Y248" s="593">
        <f t="shared" si="117"/>
        <v>56.47712032693137</v>
      </c>
      <c r="AA248" s="150">
        <f t="shared" si="118"/>
        <v>1000000000</v>
      </c>
      <c r="AB248" s="150">
        <f t="shared" si="119"/>
        <v>226494975.0625</v>
      </c>
      <c r="AD248" s="592">
        <f t="shared" si="120"/>
        <v>27.613041157196122</v>
      </c>
      <c r="AE248" s="593">
        <f t="shared" si="121"/>
        <v>-9.3602856656398412</v>
      </c>
      <c r="AG248" s="592">
        <f t="shared" si="122"/>
        <v>4.2160583034237362</v>
      </c>
      <c r="AH248" s="593">
        <f t="shared" si="123"/>
        <v>-92.615741003177888</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5">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1.0505516705975182</v>
      </c>
      <c r="N249" s="585">
        <f t="shared" si="110"/>
        <v>-0.3114806742098426</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6.1848173882699884</v>
      </c>
      <c r="X249" s="590">
        <f t="shared" si="116"/>
        <v>-123.69482734144572</v>
      </c>
      <c r="Y249" s="593">
        <f t="shared" si="117"/>
        <v>56.305172658554284</v>
      </c>
      <c r="AA249" s="150">
        <f t="shared" si="118"/>
        <v>1000000000</v>
      </c>
      <c r="AB249" s="150">
        <f t="shared" si="119"/>
        <v>229098496</v>
      </c>
      <c r="AD249" s="592">
        <f t="shared" si="120"/>
        <v>27.612376742829756</v>
      </c>
      <c r="AE249" s="593">
        <f t="shared" si="121"/>
        <v>-9.3564433178828121</v>
      </c>
      <c r="AG249" s="592">
        <f t="shared" si="122"/>
        <v>4.1724438060272213</v>
      </c>
      <c r="AH249" s="593">
        <f t="shared" si="123"/>
        <v>-92.669468507424071</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5">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1.0511268484375782</v>
      </c>
      <c r="N250" s="585">
        <f t="shared" si="110"/>
        <v>-0.3131758015519005</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6.1375945294076626</v>
      </c>
      <c r="X250" s="590">
        <f t="shared" si="116"/>
        <v>-123.87021819242014</v>
      </c>
      <c r="Y250" s="593">
        <f t="shared" si="117"/>
        <v>56.12978180757986</v>
      </c>
      <c r="AA250" s="150">
        <f t="shared" si="118"/>
        <v>1000000000</v>
      </c>
      <c r="AB250" s="150">
        <f t="shared" si="119"/>
        <v>231770176</v>
      </c>
      <c r="AD250" s="592">
        <f t="shared" si="120"/>
        <v>27.611703804187968</v>
      </c>
      <c r="AE250" s="593">
        <f t="shared" si="121"/>
        <v>-9.3528521056348612</v>
      </c>
      <c r="AG250" s="592">
        <f t="shared" si="122"/>
        <v>4.1282597637715188</v>
      </c>
      <c r="AH250" s="593">
        <f t="shared" si="123"/>
        <v>-92.723936086084066</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5">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1.0517050433363899</v>
      </c>
      <c r="N251" s="585">
        <f t="shared" si="110"/>
        <v>-0.31486906989789565</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6.0906786074745201</v>
      </c>
      <c r="X251" s="590">
        <f t="shared" si="116"/>
        <v>-124.04556127879621</v>
      </c>
      <c r="Y251" s="593">
        <f t="shared" si="117"/>
        <v>55.954438721203786</v>
      </c>
      <c r="AA251" s="150">
        <f t="shared" si="118"/>
        <v>1000000000</v>
      </c>
      <c r="AB251" s="150">
        <f t="shared" si="119"/>
        <v>234457344</v>
      </c>
      <c r="AD251" s="592">
        <f t="shared" si="120"/>
        <v>27.611035721173558</v>
      </c>
      <c r="AE251" s="593">
        <f t="shared" si="121"/>
        <v>-9.3495876205699471</v>
      </c>
      <c r="AG251" s="592">
        <f t="shared" si="122"/>
        <v>4.0843909215010195</v>
      </c>
      <c r="AH251" s="593">
        <f t="shared" si="123"/>
        <v>-92.778054208874366</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5">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1.0522862503206449</v>
      </c>
      <c r="N252" s="585">
        <f t="shared" si="110"/>
        <v>-0.31656047261048398</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6.0440661633286021</v>
      </c>
      <c r="X252" s="590">
        <f t="shared" si="116"/>
        <v>-124.22085492432336</v>
      </c>
      <c r="Y252" s="593">
        <f t="shared" si="117"/>
        <v>55.779145075676638</v>
      </c>
      <c r="AA252" s="150">
        <f t="shared" si="118"/>
        <v>1000000000</v>
      </c>
      <c r="AB252" s="150">
        <f t="shared" si="119"/>
        <v>237160000</v>
      </c>
      <c r="AD252" s="592">
        <f t="shared" si="120"/>
        <v>27.610372346314279</v>
      </c>
      <c r="AE252" s="593">
        <f t="shared" si="121"/>
        <v>-9.3466442787772728</v>
      </c>
      <c r="AG252" s="592">
        <f t="shared" si="122"/>
        <v>4.0408339575222945</v>
      </c>
      <c r="AH252" s="593">
        <f t="shared" si="123"/>
        <v>-92.831826914368392</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5">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1.0528704644021372</v>
      </c>
      <c r="N253" s="585">
        <f t="shared" si="110"/>
        <v>-0.31825000310963764</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5.9977537962030407</v>
      </c>
      <c r="X253" s="590">
        <f t="shared" si="116"/>
        <v>-124.39609748307257</v>
      </c>
      <c r="Y253" s="593">
        <f t="shared" si="117"/>
        <v>55.603902516927434</v>
      </c>
      <c r="AA253" s="150">
        <f t="shared" si="118"/>
        <v>1000000000</v>
      </c>
      <c r="AB253" s="150">
        <f t="shared" si="119"/>
        <v>239878144</v>
      </c>
      <c r="AD253" s="592">
        <f t="shared" si="120"/>
        <v>27.609713536296326</v>
      </c>
      <c r="AE253" s="593">
        <f t="shared" si="121"/>
        <v>-9.3440166214824245</v>
      </c>
      <c r="AG253" s="592">
        <f t="shared" si="122"/>
        <v>3.9975856043100877</v>
      </c>
      <c r="AH253" s="593">
        <f t="shared" si="123"/>
        <v>-92.885258146096191</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5">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1.0534727339438388</v>
      </c>
      <c r="N254" s="585">
        <f t="shared" si="110"/>
        <v>-0.31998078037037664</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5.9505654875061786</v>
      </c>
      <c r="X254" s="590">
        <f t="shared" si="116"/>
        <v>-124.57576591968203</v>
      </c>
      <c r="Y254" s="593">
        <f t="shared" si="117"/>
        <v>55.424234080317973</v>
      </c>
      <c r="AA254" s="150">
        <f t="shared" si="118"/>
        <v>1000000000</v>
      </c>
      <c r="AB254" s="150">
        <f t="shared" si="119"/>
        <v>242681873.0625</v>
      </c>
      <c r="AD254" s="592">
        <f t="shared" si="120"/>
        <v>27.609042477220083</v>
      </c>
      <c r="AE254" s="593">
        <f t="shared" si="121"/>
        <v>-9.3416440846643045</v>
      </c>
      <c r="AG254" s="592">
        <f t="shared" si="122"/>
        <v>3.9535486499024834</v>
      </c>
      <c r="AH254" s="593">
        <f t="shared" si="123"/>
        <v>-92.939704869282579</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5">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1.0540781556461063</v>
      </c>
      <c r="N255" s="585">
        <f t="shared" si="110"/>
        <v>-0.32170957462196642</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5.9036857342418072</v>
      </c>
      <c r="X255" s="590">
        <f t="shared" si="116"/>
        <v>-124.75537721182613</v>
      </c>
      <c r="Y255" s="593">
        <f t="shared" si="117"/>
        <v>55.244622788173871</v>
      </c>
      <c r="AA255" s="150">
        <f t="shared" si="118"/>
        <v>1000000000</v>
      </c>
      <c r="AB255" s="150">
        <f t="shared" si="119"/>
        <v>245501892.25</v>
      </c>
      <c r="AD255" s="592">
        <f t="shared" si="120"/>
        <v>27.608375926895476</v>
      </c>
      <c r="AE255" s="593">
        <f t="shared" si="121"/>
        <v>-9.3395923407996921</v>
      </c>
      <c r="AG255" s="592">
        <f t="shared" si="122"/>
        <v>3.9098294975247017</v>
      </c>
      <c r="AH255" s="593">
        <f t="shared" si="123"/>
        <v>-92.993800540402177</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5">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1.0546867240806366</v>
      </c>
      <c r="N256" s="585">
        <f t="shared" si="110"/>
        <v>-0.32343637895445576</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5.8571110506776067</v>
      </c>
      <c r="X256" s="590">
        <f t="shared" si="116"/>
        <v>-124.93492967869641</v>
      </c>
      <c r="Y256" s="593">
        <f t="shared" si="117"/>
        <v>55.065070321303594</v>
      </c>
      <c r="AA256" s="150">
        <f t="shared" si="118"/>
        <v>1000000000</v>
      </c>
      <c r="AB256" s="150">
        <f t="shared" si="119"/>
        <v>248338201.5625</v>
      </c>
      <c r="AD256" s="592">
        <f t="shared" si="120"/>
        <v>27.607713743462568</v>
      </c>
      <c r="AE256" s="593">
        <f t="shared" si="121"/>
        <v>-9.3378558891710473</v>
      </c>
      <c r="AG256" s="592">
        <f t="shared" si="122"/>
        <v>3.8664247922807196</v>
      </c>
      <c r="AH256" s="593">
        <f t="shared" si="123"/>
        <v>-93.04754911957906</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5">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1.0552984338034663</v>
      </c>
      <c r="N257" s="585">
        <f t="shared" si="110"/>
        <v>-0.3251611865212603</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5.8108380099114187</v>
      </c>
      <c r="X257" s="590">
        <f t="shared" si="116"/>
        <v>-125.11442166990091</v>
      </c>
      <c r="Y257" s="593">
        <f t="shared" si="117"/>
        <v>54.885578330099094</v>
      </c>
      <c r="AA257" s="150">
        <f t="shared" si="118"/>
        <v>1000000000</v>
      </c>
      <c r="AB257" s="150">
        <f t="shared" si="119"/>
        <v>251190801</v>
      </c>
      <c r="AD257" s="592">
        <f t="shared" si="120"/>
        <v>27.607055789073303</v>
      </c>
      <c r="AE257" s="593">
        <f t="shared" si="121"/>
        <v>-9.3364293526545836</v>
      </c>
      <c r="AG257" s="592">
        <f t="shared" si="122"/>
        <v>3.8233312340392067</v>
      </c>
      <c r="AH257" s="593">
        <f t="shared" si="123"/>
        <v>-93.100954473503251</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5">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1.0559269402156224</v>
      </c>
      <c r="N258" s="585">
        <f t="shared" si="110"/>
        <v>-0.32692214627815913</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5.7638477639191681</v>
      </c>
      <c r="X258" s="590">
        <f t="shared" si="116"/>
        <v>-125.29782713499124</v>
      </c>
      <c r="Y258" s="593">
        <f t="shared" si="117"/>
        <v>54.702172865008762</v>
      </c>
      <c r="AA258" s="150">
        <f t="shared" si="118"/>
        <v>1000000000</v>
      </c>
      <c r="AB258" s="150">
        <f t="shared" si="119"/>
        <v>254123451.5625</v>
      </c>
      <c r="AD258" s="592">
        <f t="shared" si="120"/>
        <v>27.606387485178942</v>
      </c>
      <c r="AE258" s="593">
        <f t="shared" si="121"/>
        <v>-9.3352860237654092</v>
      </c>
      <c r="AG258" s="592">
        <f t="shared" si="122"/>
        <v>3.7796008803557442</v>
      </c>
      <c r="AH258" s="593">
        <f t="shared" si="123"/>
        <v>-93.155192537631422</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5">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1.0565587171337667</v>
      </c>
      <c r="N259" s="585">
        <f t="shared" si="110"/>
        <v>-0.32868100552660456</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5.7171656200724605</v>
      </c>
      <c r="X259" s="590">
        <f t="shared" si="116"/>
        <v>-125.48116602156222</v>
      </c>
      <c r="Y259" s="593">
        <f t="shared" si="117"/>
        <v>54.518833978437783</v>
      </c>
      <c r="AA259" s="150">
        <f t="shared" si="118"/>
        <v>1000000000</v>
      </c>
      <c r="AB259" s="150">
        <f t="shared" si="119"/>
        <v>257073122.25</v>
      </c>
      <c r="AD259" s="592">
        <f t="shared" si="120"/>
        <v>27.60572332085097</v>
      </c>
      <c r="AE259" s="593">
        <f t="shared" si="121"/>
        <v>-9.3344555177484914</v>
      </c>
      <c r="AG259" s="592">
        <f t="shared" si="122"/>
        <v>3.7361888143468387</v>
      </c>
      <c r="AH259" s="593">
        <f t="shared" si="123"/>
        <v>-93.209079878124271</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5">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1.0571937586945557</v>
      </c>
      <c r="N260" s="585">
        <f t="shared" si="110"/>
        <v>-0.3304377571597969</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5.670788100459264</v>
      </c>
      <c r="X260" s="590">
        <f t="shared" si="116"/>
        <v>-125.66443666091679</v>
      </c>
      <c r="Y260" s="593">
        <f t="shared" si="117"/>
        <v>54.335563339083208</v>
      </c>
      <c r="AA260" s="150">
        <f t="shared" si="118"/>
        <v>1000000000</v>
      </c>
      <c r="AB260" s="150">
        <f t="shared" si="119"/>
        <v>260039813.0625</v>
      </c>
      <c r="AD260" s="592">
        <f t="shared" si="120"/>
        <v>27.605063161010534</v>
      </c>
      <c r="AE260" s="593">
        <f t="shared" si="121"/>
        <v>-9.3339324703343021</v>
      </c>
      <c r="AG260" s="592">
        <f t="shared" si="122"/>
        <v>3.6930916811777696</v>
      </c>
      <c r="AH260" s="593">
        <f t="shared" si="123"/>
        <v>-93.262620339187478</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5">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1.0578320590184631</v>
      </c>
      <c r="N261" s="585">
        <f t="shared" si="110"/>
        <v>-0.33219239413999346</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5.6247117856736493</v>
      </c>
      <c r="X261" s="590">
        <f t="shared" si="116"/>
        <v>-125.8476374144948</v>
      </c>
      <c r="Y261" s="593">
        <f t="shared" si="117"/>
        <v>54.152362585505202</v>
      </c>
      <c r="AA261" s="150">
        <f t="shared" si="118"/>
        <v>1000000000</v>
      </c>
      <c r="AB261" s="150">
        <f t="shared" si="119"/>
        <v>263023524</v>
      </c>
      <c r="AD261" s="592">
        <f t="shared" si="120"/>
        <v>27.6044068743977</v>
      </c>
      <c r="AE261" s="593">
        <f t="shared" si="121"/>
        <v>-9.3337116376926659</v>
      </c>
      <c r="AG261" s="592">
        <f t="shared" si="122"/>
        <v>3.6503061806438413</v>
      </c>
      <c r="AH261" s="593">
        <f t="shared" si="123"/>
        <v>-93.315817674440623</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5">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1.0584893004356866</v>
      </c>
      <c r="N262" s="585">
        <f t="shared" si="110"/>
        <v>-0.33398762721270259</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5.5778204582033091</v>
      </c>
      <c r="X262" s="590">
        <f t="shared" si="116"/>
        <v>-126.03523233390932</v>
      </c>
      <c r="Y262" s="593">
        <f t="shared" si="117"/>
        <v>53.96476766609068</v>
      </c>
      <c r="AA262" s="150">
        <f t="shared" si="118"/>
        <v>1000000000</v>
      </c>
      <c r="AB262" s="150">
        <f t="shared" si="119"/>
        <v>266097656.25</v>
      </c>
      <c r="AD262" s="592">
        <f t="shared" si="120"/>
        <v>27.603738463550613</v>
      </c>
      <c r="AE262" s="593">
        <f t="shared" si="121"/>
        <v>-9.3337934218623211</v>
      </c>
      <c r="AG262" s="592">
        <f t="shared" si="122"/>
        <v>3.6067968642629635</v>
      </c>
      <c r="AH262" s="593">
        <f t="shared" si="123"/>
        <v>-93.369960555654856</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5">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1.0591499489774636</v>
      </c>
      <c r="N263" s="585">
        <f t="shared" si="110"/>
        <v>-0.33578062649200047</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5.5312381261040127</v>
      </c>
      <c r="X263" s="590">
        <f t="shared" si="116"/>
        <v>-126.22275052992998</v>
      </c>
      <c r="Y263" s="593">
        <f t="shared" si="117"/>
        <v>53.777249470070018</v>
      </c>
      <c r="AA263" s="150">
        <f t="shared" si="118"/>
        <v>1000000000</v>
      </c>
      <c r="AB263" s="150">
        <f t="shared" si="119"/>
        <v>269189649</v>
      </c>
      <c r="AD263" s="592">
        <f t="shared" si="120"/>
        <v>27.603073850067823</v>
      </c>
      <c r="AE263" s="593">
        <f t="shared" si="121"/>
        <v>-9.3341815760882767</v>
      </c>
      <c r="AG263" s="592">
        <f t="shared" si="122"/>
        <v>3.5636077272415378</v>
      </c>
      <c r="AH263" s="593">
        <f t="shared" si="123"/>
        <v>-93.423751063019537</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5">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1.059813998272171</v>
      </c>
      <c r="N264" s="585">
        <f t="shared" si="110"/>
        <v>-0.33757138463765562</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5.4849612959165741</v>
      </c>
      <c r="X264" s="590">
        <f t="shared" si="116"/>
        <v>-126.41019033492556</v>
      </c>
      <c r="Y264" s="593">
        <f t="shared" si="117"/>
        <v>53.589809665074441</v>
      </c>
      <c r="AA264" s="150">
        <f t="shared" si="118"/>
        <v>1000000000</v>
      </c>
      <c r="AB264" s="150">
        <f t="shared" si="119"/>
        <v>272299502.25</v>
      </c>
      <c r="AD264" s="592">
        <f t="shared" si="120"/>
        <v>27.602412904491658</v>
      </c>
      <c r="AE264" s="593">
        <f t="shared" si="121"/>
        <v>-9.3348708348898839</v>
      </c>
      <c r="AG264" s="592">
        <f t="shared" si="122"/>
        <v>3.5207353924288922</v>
      </c>
      <c r="AH264" s="593">
        <f t="shared" si="123"/>
        <v>-93.477192952916909</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5">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1.0604814419313873</v>
      </c>
      <c r="N265" s="585">
        <f t="shared" si="110"/>
        <v>-0.33935989438526926</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5.4389865328806506</v>
      </c>
      <c r="X265" s="590">
        <f t="shared" si="116"/>
        <v>-126.59755011142066</v>
      </c>
      <c r="Y265" s="593">
        <f t="shared" si="117"/>
        <v>53.402449888579341</v>
      </c>
      <c r="AA265" s="150">
        <f t="shared" si="118"/>
        <v>1000000000</v>
      </c>
      <c r="AB265" s="150">
        <f t="shared" si="119"/>
        <v>275427216</v>
      </c>
      <c r="AD265" s="592">
        <f t="shared" si="120"/>
        <v>27.601755501031331</v>
      </c>
      <c r="AE265" s="593">
        <f t="shared" si="121"/>
        <v>-9.335856051171211</v>
      </c>
      <c r="AG265" s="592">
        <f t="shared" si="122"/>
        <v>3.4781765376438498</v>
      </c>
      <c r="AH265" s="593">
        <f t="shared" si="123"/>
        <v>-93.53028989318274</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5">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1.0611665076081906</v>
      </c>
      <c r="N266" s="585">
        <f t="shared" si="110"/>
        <v>-0.3411839284413587</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5.3923469735595475</v>
      </c>
      <c r="X266" s="590">
        <f t="shared" si="116"/>
        <v>-126.78879091619919</v>
      </c>
      <c r="Y266" s="593">
        <f t="shared" si="117"/>
        <v>53.21120908380081</v>
      </c>
      <c r="AA266" s="150">
        <f t="shared" si="118"/>
        <v>1000000000</v>
      </c>
      <c r="AB266" s="150">
        <f t="shared" si="119"/>
        <v>278639556.25</v>
      </c>
      <c r="AD266" s="592">
        <f t="shared" si="120"/>
        <v>27.601087712601124</v>
      </c>
      <c r="AE266" s="593">
        <f t="shared" si="121"/>
        <v>-9.3371623089191029</v>
      </c>
      <c r="AG266" s="592">
        <f t="shared" si="122"/>
        <v>3.4350370719050289</v>
      </c>
      <c r="AH266" s="593">
        <f t="shared" si="123"/>
        <v>-93.584158322565528</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5">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1.0618550993298785</v>
      </c>
      <c r="N267" s="585">
        <f t="shared" si="110"/>
        <v>-0.34300560285284953</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5.3460153448085981</v>
      </c>
      <c r="X267" s="590">
        <f t="shared" si="116"/>
        <v>-126.97994491112925</v>
      </c>
      <c r="Y267" s="593">
        <f t="shared" si="117"/>
        <v>53.020055088870748</v>
      </c>
      <c r="AA267" s="150">
        <f t="shared" si="118"/>
        <v>1000000000</v>
      </c>
      <c r="AB267" s="150">
        <f t="shared" si="119"/>
        <v>281870521</v>
      </c>
      <c r="AD267" s="592">
        <f t="shared" si="120"/>
        <v>27.600423363850929</v>
      </c>
      <c r="AE267" s="593">
        <f t="shared" si="121"/>
        <v>-9.3387666991936147</v>
      </c>
      <c r="AG267" s="592">
        <f t="shared" si="122"/>
        <v>3.3922176637193138</v>
      </c>
      <c r="AH267" s="593">
        <f t="shared" si="123"/>
        <v>-93.637674505965435</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5">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1.062547210241211</v>
      </c>
      <c r="N268" s="585">
        <f t="shared" si="110"/>
        <v>-0.34482491012864142</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5.299988170037726</v>
      </c>
      <c r="X268" s="590">
        <f t="shared" si="116"/>
        <v>-127.17101044540688</v>
      </c>
      <c r="Y268" s="593">
        <f t="shared" si="117"/>
        <v>52.828989554593122</v>
      </c>
      <c r="AA268" s="150">
        <f t="shared" si="118"/>
        <v>1000000000</v>
      </c>
      <c r="AB268" s="150">
        <f t="shared" si="119"/>
        <v>285120110.25</v>
      </c>
      <c r="AD268" s="592">
        <f t="shared" si="120"/>
        <v>27.599762331889387</v>
      </c>
      <c r="AE268" s="593">
        <f t="shared" si="121"/>
        <v>-9.340664102252358</v>
      </c>
      <c r="AG268" s="592">
        <f t="shared" si="122"/>
        <v>3.349714945119517</v>
      </c>
      <c r="AH268" s="593">
        <f t="shared" si="123"/>
        <v>-93.690842079755811</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5">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1.0632428334698083</v>
      </c>
      <c r="N269" s="585">
        <f t="shared" ref="N269:N332" si="142">-ATAN(G269/z_RHP)</f>
        <v>-0.34664184285976835</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5.2542620308186088</v>
      </c>
      <c r="X269" s="590">
        <f t="shared" ref="X269:X332" si="148">((L269+R269+N269+V269)-(J269+P269+T269))*radconv</f>
        <v>-127.36198589806182</v>
      </c>
      <c r="Y269" s="593">
        <f t="shared" ref="Y269:Y332" si="149">IF(X269&gt;0,X269,X269+180)</f>
        <v>52.638014101938182</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3.3075256027566038</v>
      </c>
      <c r="AH269" s="593">
        <f t="shared" ref="AH269:AH332" si="155">(L269+N269-(J269+V269))*radconv</f>
        <v>-93.743664594887107</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5">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1.0639601207893077</v>
      </c>
      <c r="N270" s="585">
        <f t="shared" si="142"/>
        <v>-0.34850337109116641</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5.2076605882946323</v>
      </c>
      <c r="X270" s="590">
        <f t="shared" si="148"/>
        <v>-127.55781362056152</v>
      </c>
      <c r="Y270" s="593">
        <f t="shared" si="149"/>
        <v>52.442186379438482</v>
      </c>
      <c r="AA270" s="150">
        <f t="shared" si="150"/>
        <v>1000000000</v>
      </c>
      <c r="AB270" s="150">
        <f t="shared" si="151"/>
        <v>291760561</v>
      </c>
      <c r="AD270" s="592">
        <f t="shared" si="152"/>
        <v>27.598432821443012</v>
      </c>
      <c r="AE270" s="593">
        <f t="shared" si="153"/>
        <v>-9.3453857096443027</v>
      </c>
      <c r="AG270" s="592">
        <f t="shared" si="154"/>
        <v>3.2645655148631647</v>
      </c>
      <c r="AH270" s="593">
        <f t="shared" si="155"/>
        <v>-93.797500620039841</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5">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1.0646810900610673</v>
      </c>
      <c r="N271" s="585">
        <f t="shared" si="142"/>
        <v>-0.35036238461805813</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5.1613688743294848</v>
      </c>
      <c r="X271" s="590">
        <f t="shared" si="148"/>
        <v>-127.75354317066312</v>
      </c>
      <c r="Y271" s="593">
        <f t="shared" si="149"/>
        <v>52.246456829336879</v>
      </c>
      <c r="AA271" s="150">
        <f t="shared" si="150"/>
        <v>1000000000</v>
      </c>
      <c r="AB271" s="150">
        <f t="shared" si="151"/>
        <v>295152400</v>
      </c>
      <c r="AD271" s="592">
        <f t="shared" si="152"/>
        <v>27.597764266882329</v>
      </c>
      <c r="AE271" s="593">
        <f t="shared" si="153"/>
        <v>-9.348214715877404</v>
      </c>
      <c r="AG271" s="592">
        <f t="shared" si="154"/>
        <v>3.221928357017469</v>
      </c>
      <c r="AH271" s="593">
        <f t="shared" si="155"/>
        <v>-93.850980782587925</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5">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1.06540573381026</v>
      </c>
      <c r="N272" s="585">
        <f t="shared" si="142"/>
        <v>-0.35221887570944493</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5.1153833800605</v>
      </c>
      <c r="X272" s="590">
        <f t="shared" si="148"/>
        <v>-127.94917289154505</v>
      </c>
      <c r="Y272" s="593">
        <f t="shared" si="149"/>
        <v>52.050827108454953</v>
      </c>
      <c r="AA272" s="150">
        <f t="shared" si="150"/>
        <v>1000000000</v>
      </c>
      <c r="AB272" s="150">
        <f t="shared" si="151"/>
        <v>298563841</v>
      </c>
      <c r="AD272" s="592">
        <f t="shared" si="152"/>
        <v>27.597098715337186</v>
      </c>
      <c r="AE272" s="593">
        <f t="shared" si="153"/>
        <v>-9.351331484213393</v>
      </c>
      <c r="AG272" s="592">
        <f t="shared" si="154"/>
        <v>3.1796107229432211</v>
      </c>
      <c r="AH272" s="593">
        <f t="shared" si="155"/>
        <v>-93.90410865269601</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5">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1.0661340445443377</v>
      </c>
      <c r="N273" s="585">
        <f t="shared" si="142"/>
        <v>-0.35407283672484285</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5.0697006553373765</v>
      </c>
      <c r="X273" s="590">
        <f t="shared" si="148"/>
        <v>-128.14470115649095</v>
      </c>
      <c r="Y273" s="593">
        <f t="shared" si="149"/>
        <v>51.855298843509047</v>
      </c>
      <c r="AA273" s="150">
        <f t="shared" si="150"/>
        <v>1000000000</v>
      </c>
      <c r="AB273" s="150">
        <f t="shared" si="151"/>
        <v>301994884</v>
      </c>
      <c r="AD273" s="592">
        <f t="shared" si="152"/>
        <v>27.596436051882968</v>
      </c>
      <c r="AE273" s="593">
        <f t="shared" si="153"/>
        <v>-9.3547310805116304</v>
      </c>
      <c r="AG273" s="592">
        <f t="shared" si="154"/>
        <v>3.1376092616452174</v>
      </c>
      <c r="AH273" s="593">
        <f t="shared" si="155"/>
        <v>-93.956887716632266</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5">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1.0668826929110211</v>
      </c>
      <c r="N274" s="585">
        <f t="shared" si="142"/>
        <v>-0.35596630836778476</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5.0232893207258495</v>
      </c>
      <c r="X274" s="590">
        <f t="shared" si="148"/>
        <v>-128.34456664026655</v>
      </c>
      <c r="Y274" s="593">
        <f t="shared" si="149"/>
        <v>51.655433359733451</v>
      </c>
      <c r="AA274" s="150">
        <f t="shared" si="150"/>
        <v>1000000000</v>
      </c>
      <c r="AB274" s="150">
        <f t="shared" si="151"/>
        <v>305524180.5625</v>
      </c>
      <c r="AD274" s="592">
        <f t="shared" si="152"/>
        <v>27.595761198818266</v>
      </c>
      <c r="AE274" s="593">
        <f t="shared" si="153"/>
        <v>-9.3584954566635297</v>
      </c>
      <c r="AG274" s="592">
        <f t="shared" si="154"/>
        <v>3.094976819017869</v>
      </c>
      <c r="AH274" s="593">
        <f t="shared" si="155"/>
        <v>-94.010509065401749</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5">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1.0676351609303589</v>
      </c>
      <c r="N275" s="585">
        <f t="shared" si="142"/>
        <v>-0.35785711774855761</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4.9771875570049549</v>
      </c>
      <c r="X275" s="590">
        <f t="shared" si="148"/>
        <v>-128.54432265585427</v>
      </c>
      <c r="Y275" s="593">
        <f t="shared" si="149"/>
        <v>51.455677344145727</v>
      </c>
      <c r="AA275" s="150">
        <f t="shared" si="150"/>
        <v>1000000000</v>
      </c>
      <c r="AB275" s="150">
        <f t="shared" si="151"/>
        <v>309073980.25</v>
      </c>
      <c r="AD275" s="592">
        <f t="shared" si="152"/>
        <v>27.595089133736334</v>
      </c>
      <c r="AE275" s="593">
        <f t="shared" si="153"/>
        <v>-9.3625455736097827</v>
      </c>
      <c r="AG275" s="592">
        <f t="shared" si="154"/>
        <v>3.0526681659530794</v>
      </c>
      <c r="AH275" s="593">
        <f t="shared" si="155"/>
        <v>-94.063772690970282</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5">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1.0683914405318087</v>
      </c>
      <c r="N276" s="585">
        <f t="shared" si="142"/>
        <v>-0.35974525698668525</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4.9313918553217464</v>
      </c>
      <c r="X276" s="590">
        <f t="shared" si="148"/>
        <v>-128.74396755639128</v>
      </c>
      <c r="Y276" s="593">
        <f t="shared" si="149"/>
        <v>51.256032443608717</v>
      </c>
      <c r="AA276" s="150">
        <f t="shared" si="150"/>
        <v>1000000000</v>
      </c>
      <c r="AB276" s="150">
        <f t="shared" si="151"/>
        <v>312644283.0625</v>
      </c>
      <c r="AD276" s="592">
        <f t="shared" si="152"/>
        <v>27.594419743876276</v>
      </c>
      <c r="AE276" s="593">
        <f t="shared" si="153"/>
        <v>-9.3668765014389912</v>
      </c>
      <c r="AG276" s="592">
        <f t="shared" si="154"/>
        <v>3.0106798892542956</v>
      </c>
      <c r="AH276" s="593">
        <f t="shared" si="155"/>
        <v>-94.116682066404195</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5">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1.0691515236268387</v>
      </c>
      <c r="N277" s="585">
        <f t="shared" si="142"/>
        <v>-0.36163071830008625</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4.8858987653607251</v>
      </c>
      <c r="X277" s="590">
        <f t="shared" si="148"/>
        <v>-128.94349972505407</v>
      </c>
      <c r="Y277" s="593">
        <f t="shared" si="149"/>
        <v>51.056500274945932</v>
      </c>
      <c r="AA277" s="150">
        <f t="shared" si="150"/>
        <v>1000000000</v>
      </c>
      <c r="AB277" s="150">
        <f t="shared" si="151"/>
        <v>316235089</v>
      </c>
      <c r="AD277" s="592">
        <f t="shared" si="152"/>
        <v>27.593752919680178</v>
      </c>
      <c r="AE277" s="593">
        <f t="shared" si="153"/>
        <v>-9.3714834211504883</v>
      </c>
      <c r="AG277" s="592">
        <f t="shared" si="154"/>
        <v>2.9690086309810146</v>
      </c>
      <c r="AH277" s="593">
        <f t="shared" si="155"/>
        <v>-94.169240583457551</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5">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1.0699324202326108</v>
      </c>
      <c r="N278" s="585">
        <f t="shared" si="142"/>
        <v>-0.36355530290353344</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4.839703958632362</v>
      </c>
      <c r="X278" s="590">
        <f t="shared" si="148"/>
        <v>-129.14734777171847</v>
      </c>
      <c r="Y278" s="593">
        <f t="shared" si="149"/>
        <v>50.852652228281528</v>
      </c>
      <c r="AA278" s="150">
        <f t="shared" si="150"/>
        <v>1000000000</v>
      </c>
      <c r="AB278" s="150">
        <f t="shared" si="151"/>
        <v>319926882.25</v>
      </c>
      <c r="AD278" s="592">
        <f t="shared" si="152"/>
        <v>27.593073818152867</v>
      </c>
      <c r="AE278" s="593">
        <f t="shared" si="153"/>
        <v>-9.3764730717561626</v>
      </c>
      <c r="AG278" s="592">
        <f t="shared" si="154"/>
        <v>2.9267355688790375</v>
      </c>
      <c r="AH278" s="593">
        <f t="shared" si="155"/>
        <v>-94.222607876299321</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5">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1.0707172741065363</v>
      </c>
      <c r="N279" s="585">
        <f t="shared" si="142"/>
        <v>-0.36547707311045285</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4.793818253065365</v>
      </c>
      <c r="X279" s="590">
        <f t="shared" si="148"/>
        <v>-129.3510746971927</v>
      </c>
      <c r="Y279" s="593">
        <f t="shared" si="149"/>
        <v>50.648925302807299</v>
      </c>
      <c r="AA279" s="150">
        <f t="shared" si="150"/>
        <v>1000000000</v>
      </c>
      <c r="AB279" s="150">
        <f t="shared" si="151"/>
        <v>323640100</v>
      </c>
      <c r="AD279" s="592">
        <f t="shared" si="152"/>
        <v>27.592397175861883</v>
      </c>
      <c r="AE279" s="593">
        <f t="shared" si="153"/>
        <v>-9.3817412751982232</v>
      </c>
      <c r="AG279" s="592">
        <f t="shared" si="154"/>
        <v>2.8847868472187055</v>
      </c>
      <c r="AH279" s="593">
        <f t="shared" si="155"/>
        <v>-94.275615461269737</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5">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1.0715060765527884</v>
      </c>
      <c r="N280" s="585">
        <f t="shared" si="142"/>
        <v>-0.36739602092596163</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4.7482381442567752</v>
      </c>
      <c r="X280" s="590">
        <f t="shared" si="148"/>
        <v>-129.55467886746376</v>
      </c>
      <c r="Y280" s="593">
        <f t="shared" si="149"/>
        <v>50.445321132536236</v>
      </c>
      <c r="AA280" s="150">
        <f t="shared" si="150"/>
        <v>1000000000</v>
      </c>
      <c r="AB280" s="150">
        <f t="shared" si="151"/>
        <v>327374742.25</v>
      </c>
      <c r="AD280" s="592">
        <f t="shared" si="152"/>
        <v>27.591722885474045</v>
      </c>
      <c r="AE280" s="593">
        <f t="shared" si="153"/>
        <v>-9.3872832235299626</v>
      </c>
      <c r="AG280" s="592">
        <f t="shared" si="154"/>
        <v>2.8431590503233535</v>
      </c>
      <c r="AH280" s="593">
        <f t="shared" si="155"/>
        <v>-94.328266713358346</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5">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1.0722988188574425</v>
      </c>
      <c r="N281" s="585">
        <f t="shared" si="142"/>
        <v>-0.36931213846178673</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4.702960186062727</v>
      </c>
      <c r="X281" s="590">
        <f t="shared" si="148"/>
        <v>-129.75815867847896</v>
      </c>
      <c r="Y281" s="593">
        <f t="shared" si="149"/>
        <v>50.241841321521036</v>
      </c>
      <c r="AA281" s="150">
        <f t="shared" si="150"/>
        <v>1000000000</v>
      </c>
      <c r="AB281" s="150">
        <f t="shared" si="151"/>
        <v>331130809</v>
      </c>
      <c r="AD281" s="592">
        <f t="shared" si="152"/>
        <v>27.591050842705375</v>
      </c>
      <c r="AE281" s="593">
        <f t="shared" si="153"/>
        <v>-9.3930942168770564</v>
      </c>
      <c r="AG281" s="592">
        <f t="shared" si="154"/>
        <v>2.8018488176418153</v>
      </c>
      <c r="AH281" s="593">
        <f t="shared" si="155"/>
        <v>-94.38056492895241</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5">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1.0731147841596569</v>
      </c>
      <c r="N282" s="585">
        <f t="shared" si="142"/>
        <v>-0.37127159724778586</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4.6568982026932373</v>
      </c>
      <c r="X282" s="590">
        <f t="shared" si="148"/>
        <v>-129.96642291423862</v>
      </c>
      <c r="Y282" s="593">
        <f t="shared" si="149"/>
        <v>50.03357708576138</v>
      </c>
      <c r="AA282" s="150">
        <f t="shared" si="150"/>
        <v>1000000000</v>
      </c>
      <c r="AB282" s="150">
        <f t="shared" si="151"/>
        <v>334999809</v>
      </c>
      <c r="AD282" s="592">
        <f t="shared" si="152"/>
        <v>27.59036479086387</v>
      </c>
      <c r="AE282" s="593">
        <f t="shared" si="153"/>
        <v>-9.399319643548198</v>
      </c>
      <c r="AG282" s="592">
        <f t="shared" si="154"/>
        <v>2.7598664613724249</v>
      </c>
      <c r="AH282" s="593">
        <f t="shared" si="155"/>
        <v>-94.433763819969599</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5">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1.0739348633930661</v>
      </c>
      <c r="N283" s="585">
        <f t="shared" si="142"/>
        <v>-0.37322807096826344</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4.6111460078769602</v>
      </c>
      <c r="X283" s="590">
        <f t="shared" si="148"/>
        <v>-130.1745533983671</v>
      </c>
      <c r="Y283" s="593">
        <f t="shared" si="149"/>
        <v>49.825446601632905</v>
      </c>
      <c r="AA283" s="150">
        <f t="shared" si="150"/>
        <v>1000000000</v>
      </c>
      <c r="AB283" s="150">
        <f t="shared" si="151"/>
        <v>338891281</v>
      </c>
      <c r="AD283" s="592">
        <f t="shared" si="152"/>
        <v>27.589680884490004</v>
      </c>
      <c r="AE283" s="593">
        <f t="shared" si="153"/>
        <v>-9.4058176256131159</v>
      </c>
      <c r="AG283" s="592">
        <f t="shared" si="154"/>
        <v>2.7182102329564986</v>
      </c>
      <c r="AH283" s="593">
        <f t="shared" si="155"/>
        <v>-94.48659916966831</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5">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1.0747590471404442</v>
      </c>
      <c r="N284" s="585">
        <f t="shared" si="142"/>
        <v>-0.3751815514956014</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4.565700081100835</v>
      </c>
      <c r="X284" s="590">
        <f t="shared" si="148"/>
        <v>-130.38254850119387</v>
      </c>
      <c r="Y284" s="593">
        <f t="shared" si="149"/>
        <v>49.617451498806133</v>
      </c>
      <c r="AA284" s="150">
        <f t="shared" si="150"/>
        <v>1000000000</v>
      </c>
      <c r="AB284" s="150">
        <f t="shared" si="151"/>
        <v>342805225</v>
      </c>
      <c r="AD284" s="592">
        <f t="shared" si="152"/>
        <v>27.588999020847101</v>
      </c>
      <c r="AE284" s="593">
        <f t="shared" si="153"/>
        <v>-9.4125834473511105</v>
      </c>
      <c r="AG284" s="592">
        <f t="shared" si="154"/>
        <v>2.6768766942657933</v>
      </c>
      <c r="AH284" s="593">
        <f t="shared" si="155"/>
        <v>-94.539074277942362</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5">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1.0755873259663691</v>
      </c>
      <c r="N285" s="585">
        <f t="shared" si="142"/>
        <v>-0.37713203081840868</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4.520556960281052</v>
      </c>
      <c r="X285" s="590">
        <f t="shared" si="148"/>
        <v>-130.59040662319921</v>
      </c>
      <c r="Y285" s="593">
        <f t="shared" si="149"/>
        <v>49.409593376800785</v>
      </c>
      <c r="AA285" s="150">
        <f t="shared" si="150"/>
        <v>1000000000</v>
      </c>
      <c r="AB285" s="150">
        <f t="shared" si="151"/>
        <v>346741641</v>
      </c>
      <c r="AD285" s="592">
        <f t="shared" si="152"/>
        <v>27.588319100123261</v>
      </c>
      <c r="AE285" s="593">
        <f t="shared" si="153"/>
        <v>-9.4196124991417616</v>
      </c>
      <c r="AG285" s="592">
        <f t="shared" si="154"/>
        <v>2.6358624625854548</v>
      </c>
      <c r="AH285" s="593">
        <f t="shared" si="155"/>
        <v>-94.591192368188572</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5">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1.0764393708934876</v>
      </c>
      <c r="N286" s="585">
        <f t="shared" si="142"/>
        <v>-0.37912539555756963</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4.4746591920931795</v>
      </c>
      <c r="X286" s="590">
        <f t="shared" si="148"/>
        <v>-130.80302355585417</v>
      </c>
      <c r="Y286" s="593">
        <f t="shared" si="149"/>
        <v>49.196976444145832</v>
      </c>
      <c r="AA286" s="150">
        <f t="shared" si="150"/>
        <v>1000000000</v>
      </c>
      <c r="AB286" s="150">
        <f t="shared" si="151"/>
        <v>350794170.25</v>
      </c>
      <c r="AD286" s="592">
        <f t="shared" si="152"/>
        <v>27.587625054511822</v>
      </c>
      <c r="AE286" s="593">
        <f t="shared" si="153"/>
        <v>-9.4270752428583098</v>
      </c>
      <c r="AG286" s="592">
        <f t="shared" si="154"/>
        <v>2.5942081321872408</v>
      </c>
      <c r="AH286" s="593">
        <f t="shared" si="155"/>
        <v>-94.644173197694613</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5">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1.077295686279929</v>
      </c>
      <c r="N287" s="585">
        <f t="shared" si="142"/>
        <v>-0.3811155992428491</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4.4290715232392373</v>
      </c>
      <c r="X287" s="590">
        <f t="shared" si="148"/>
        <v>-131.01549367285128</v>
      </c>
      <c r="Y287" s="593">
        <f t="shared" si="149"/>
        <v>48.984506327148722</v>
      </c>
      <c r="AA287" s="150">
        <f t="shared" si="150"/>
        <v>1000000000</v>
      </c>
      <c r="AB287" s="150">
        <f t="shared" si="151"/>
        <v>354870244</v>
      </c>
      <c r="AD287" s="592">
        <f t="shared" si="152"/>
        <v>27.586932841896967</v>
      </c>
      <c r="AE287" s="593">
        <f t="shared" si="153"/>
        <v>-9.4348043342316803</v>
      </c>
      <c r="AG287" s="592">
        <f t="shared" si="154"/>
        <v>2.5528813487236897</v>
      </c>
      <c r="AH287" s="593">
        <f t="shared" si="155"/>
        <v>-94.696786568613533</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5">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1.0781562619503777</v>
      </c>
      <c r="N288" s="585">
        <f t="shared" si="142"/>
        <v>-0.38310263365895125</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4.3837904224677873</v>
      </c>
      <c r="X288" s="590">
        <f t="shared" si="148"/>
        <v>-131.22781535273307</v>
      </c>
      <c r="Y288" s="593">
        <f t="shared" si="149"/>
        <v>48.772184647266926</v>
      </c>
      <c r="AA288" s="150">
        <f t="shared" si="150"/>
        <v>1000000000</v>
      </c>
      <c r="AB288" s="150">
        <f t="shared" si="151"/>
        <v>358969862.25</v>
      </c>
      <c r="AD288" s="592">
        <f t="shared" si="152"/>
        <v>27.586242364128108</v>
      </c>
      <c r="AE288" s="593">
        <f t="shared" si="153"/>
        <v>-9.4427951560192263</v>
      </c>
      <c r="AG288" s="592">
        <f t="shared" si="154"/>
        <v>2.5118786568756191</v>
      </c>
      <c r="AH288" s="593">
        <f t="shared" si="155"/>
        <v>-94.749035703681827</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5">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1.0790210877114366</v>
      </c>
      <c r="N289" s="585">
        <f t="shared" si="142"/>
        <v>-0.3850864907168291</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4.3388124170018445</v>
      </c>
      <c r="X289" s="590">
        <f t="shared" si="148"/>
        <v>-131.43998700436046</v>
      </c>
      <c r="Y289" s="593">
        <f t="shared" si="149"/>
        <v>48.560012995639539</v>
      </c>
      <c r="AA289" s="150">
        <f t="shared" si="150"/>
        <v>1000000000</v>
      </c>
      <c r="AB289" s="150">
        <f t="shared" si="151"/>
        <v>363093025</v>
      </c>
      <c r="AD289" s="592">
        <f t="shared" si="152"/>
        <v>27.585553525853612</v>
      </c>
      <c r="AE289" s="593">
        <f t="shared" si="153"/>
        <v>-9.4510431948987748</v>
      </c>
      <c r="AG289" s="592">
        <f t="shared" si="154"/>
        <v>2.4711966569009607</v>
      </c>
      <c r="AH289" s="593">
        <f t="shared" si="155"/>
        <v>-94.800923751423682</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5">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1.0799082202512911</v>
      </c>
      <c r="N290" s="585">
        <f t="shared" si="142"/>
        <v>-0.38710820252265626</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4.2932107298136257</v>
      </c>
      <c r="X290" s="590">
        <f t="shared" si="148"/>
        <v>-131.65640218030649</v>
      </c>
      <c r="Y290" s="593">
        <f t="shared" si="149"/>
        <v>48.343597819693514</v>
      </c>
      <c r="AA290" s="150">
        <f t="shared" si="150"/>
        <v>1000000000</v>
      </c>
      <c r="AB290" s="150">
        <f t="shared" si="151"/>
        <v>367325973.0625</v>
      </c>
      <c r="AD290" s="592">
        <f t="shared" si="152"/>
        <v>27.584851997564517</v>
      </c>
      <c r="AE290" s="593">
        <f t="shared" si="153"/>
        <v>-9.4597229680136188</v>
      </c>
      <c r="AG290" s="592">
        <f t="shared" si="154"/>
        <v>2.4299982835035556</v>
      </c>
      <c r="AH290" s="593">
        <f t="shared" si="155"/>
        <v>-94.853518616133215</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5">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1.0807997594636098</v>
      </c>
      <c r="N291" s="585">
        <f t="shared" si="142"/>
        <v>-0.38912658719361332</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4.2479177079182584</v>
      </c>
      <c r="X291" s="590">
        <f t="shared" si="148"/>
        <v>-131.87265778487256</v>
      </c>
      <c r="Y291" s="593">
        <f t="shared" si="149"/>
        <v>48.127342215127442</v>
      </c>
      <c r="AA291" s="150">
        <f t="shared" si="150"/>
        <v>1000000000</v>
      </c>
      <c r="AB291" s="150">
        <f t="shared" si="151"/>
        <v>371583452.25</v>
      </c>
      <c r="AD291" s="592">
        <f t="shared" si="152"/>
        <v>27.58415198522998</v>
      </c>
      <c r="AE291" s="593">
        <f t="shared" si="153"/>
        <v>-9.4686615529040079</v>
      </c>
      <c r="AG291" s="592">
        <f t="shared" si="154"/>
        <v>2.3891270542907921</v>
      </c>
      <c r="AH291" s="593">
        <f t="shared" si="155"/>
        <v>-94.905743664535478</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5">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1.0816956944523857</v>
      </c>
      <c r="N292" s="585">
        <f t="shared" si="142"/>
        <v>-0.39114163653150696</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4.2029298379867184</v>
      </c>
      <c r="X292" s="590">
        <f t="shared" si="148"/>
        <v>-132.08875221946903</v>
      </c>
      <c r="Y292" s="593">
        <f t="shared" si="149"/>
        <v>47.911247780530971</v>
      </c>
      <c r="AA292" s="150">
        <f t="shared" si="150"/>
        <v>1000000000</v>
      </c>
      <c r="AB292" s="150">
        <f t="shared" si="151"/>
        <v>375865462.5625</v>
      </c>
      <c r="AD292" s="592">
        <f t="shared" si="152"/>
        <v>27.583453395869103</v>
      </c>
      <c r="AE292" s="593">
        <f t="shared" si="153"/>
        <v>-9.4778544660838318</v>
      </c>
      <c r="AG292" s="592">
        <f t="shared" si="154"/>
        <v>2.3485795248663748</v>
      </c>
      <c r="AH292" s="593">
        <f t="shared" si="155"/>
        <v>-94.957602020261476</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5">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1.0825960143040465</v>
      </c>
      <c r="N293" s="585">
        <f t="shared" si="142"/>
        <v>-0.39315334247355777</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4.158243664575215</v>
      </c>
      <c r="X293" s="590">
        <f t="shared" si="148"/>
        <v>-132.30468391570318</v>
      </c>
      <c r="Y293" s="593">
        <f t="shared" si="149"/>
        <v>47.69531608429682</v>
      </c>
      <c r="AA293" s="150">
        <f t="shared" si="150"/>
        <v>1000000000</v>
      </c>
      <c r="AB293" s="150">
        <f t="shared" si="151"/>
        <v>380172004</v>
      </c>
      <c r="AD293" s="592">
        <f t="shared" si="152"/>
        <v>27.58275613915022</v>
      </c>
      <c r="AE293" s="593">
        <f t="shared" si="153"/>
        <v>-9.487297324732145</v>
      </c>
      <c r="AG293" s="592">
        <f t="shared" si="154"/>
        <v>2.308352305965288</v>
      </c>
      <c r="AH293" s="593">
        <f t="shared" si="155"/>
        <v>-95.009096735802672</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5">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1.0835252752083322</v>
      </c>
      <c r="N294" s="585">
        <f t="shared" si="142"/>
        <v>-0.39521605278091892</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4.1126575264662995</v>
      </c>
      <c r="X294" s="590">
        <f t="shared" si="148"/>
        <v>-132.52629375088546</v>
      </c>
      <c r="Y294" s="593">
        <f t="shared" si="149"/>
        <v>47.473706249114542</v>
      </c>
      <c r="AA294" s="150">
        <f t="shared" si="150"/>
        <v>1000000000</v>
      </c>
      <c r="AB294" s="150">
        <f t="shared" si="151"/>
        <v>384620738.0625</v>
      </c>
      <c r="AD294" s="592">
        <f t="shared" si="152"/>
        <v>27.582041290217909</v>
      </c>
      <c r="AE294" s="593">
        <f t="shared" si="153"/>
        <v>-9.4972516645955913</v>
      </c>
      <c r="AG294" s="592">
        <f t="shared" si="154"/>
        <v>2.2673653505420215</v>
      </c>
      <c r="AH294" s="593">
        <f t="shared" si="155"/>
        <v>-95.061610926431499</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5">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1.0844591383553721</v>
      </c>
      <c r="N295" s="585">
        <f t="shared" si="142"/>
        <v>-0.39727521930273285</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4.0673824438271069</v>
      </c>
      <c r="X295" s="590">
        <f t="shared" si="148"/>
        <v>-132.74772865306781</v>
      </c>
      <c r="Y295" s="593">
        <f t="shared" si="149"/>
        <v>47.25227134693219</v>
      </c>
      <c r="AA295" s="150">
        <f t="shared" si="150"/>
        <v>1000000000</v>
      </c>
      <c r="AB295" s="150">
        <f t="shared" si="151"/>
        <v>389095350.25</v>
      </c>
      <c r="AD295" s="592">
        <f t="shared" si="152"/>
        <v>27.581327662141533</v>
      </c>
      <c r="AE295" s="593">
        <f t="shared" si="153"/>
        <v>-9.5074606163134323</v>
      </c>
      <c r="AG295" s="592">
        <f t="shared" si="154"/>
        <v>2.2267092196592237</v>
      </c>
      <c r="AH295" s="593">
        <f t="shared" si="155"/>
        <v>-95.113747815713339</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5">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1.0853975918660224</v>
      </c>
      <c r="N296" s="585">
        <f t="shared" si="142"/>
        <v>-0.39933083374626355</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4.0224148548589245</v>
      </c>
      <c r="X296" s="590">
        <f t="shared" si="148"/>
        <v>-132.96898701827064</v>
      </c>
      <c r="Y296" s="593">
        <f t="shared" si="149"/>
        <v>47.031012981729361</v>
      </c>
      <c r="AA296" s="150">
        <f t="shared" si="150"/>
        <v>1000000000</v>
      </c>
      <c r="AB296" s="150">
        <f t="shared" si="151"/>
        <v>393595840.5625</v>
      </c>
      <c r="AD296" s="592">
        <f t="shared" si="152"/>
        <v>27.580615165199191</v>
      </c>
      <c r="AE296" s="593">
        <f t="shared" si="153"/>
        <v>-9.5179197444617216</v>
      </c>
      <c r="AG296" s="592">
        <f t="shared" si="154"/>
        <v>2.186380414729193</v>
      </c>
      <c r="AH296" s="593">
        <f t="shared" si="155"/>
        <v>-95.16551049080023</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5">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1.0863406238438955</v>
      </c>
      <c r="N297" s="585">
        <f t="shared" si="142"/>
        <v>-0.40138288796743476</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3.9777512565099342</v>
      </c>
      <c r="X297" s="590">
        <f t="shared" si="148"/>
        <v>-133.19006727339212</v>
      </c>
      <c r="Y297" s="593">
        <f t="shared" si="149"/>
        <v>46.809932726607883</v>
      </c>
      <c r="AA297" s="150">
        <f t="shared" si="150"/>
        <v>1000000000</v>
      </c>
      <c r="AB297" s="150">
        <f t="shared" si="151"/>
        <v>398122209</v>
      </c>
      <c r="AD297" s="592">
        <f t="shared" si="152"/>
        <v>27.579903712239226</v>
      </c>
      <c r="AE297" s="593">
        <f t="shared" si="153"/>
        <v>-9.5286247135659856</v>
      </c>
      <c r="AG297" s="592">
        <f t="shared" si="154"/>
        <v>2.1463754932267802</v>
      </c>
      <c r="AH297" s="593">
        <f t="shared" si="155"/>
        <v>-95.21690196901271</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5">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1.0873070120592596</v>
      </c>
      <c r="N298" s="585">
        <f t="shared" si="142"/>
        <v>-0.40347185743198827</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3.9325137003046837</v>
      </c>
      <c r="X298" s="590">
        <f t="shared" si="148"/>
        <v>-133.41533551577274</v>
      </c>
      <c r="Y298" s="593">
        <f t="shared" si="149"/>
        <v>46.584664484227261</v>
      </c>
      <c r="AA298" s="150">
        <f t="shared" si="150"/>
        <v>1000000000</v>
      </c>
      <c r="AB298" s="150">
        <f t="shared" si="151"/>
        <v>402764761</v>
      </c>
      <c r="AD298" s="592">
        <f t="shared" si="152"/>
        <v>27.579179173986152</v>
      </c>
      <c r="AE298" s="593">
        <f t="shared" si="153"/>
        <v>-9.539790219336556</v>
      </c>
      <c r="AG298" s="592">
        <f t="shared" si="154"/>
        <v>2.105909310486036</v>
      </c>
      <c r="AH298" s="593">
        <f t="shared" si="155"/>
        <v>-95.268930756374985</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5">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1.0882781366190362</v>
      </c>
      <c r="N299" s="585">
        <f t="shared" si="142"/>
        <v>-0.40555710780051296</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3.8875851024647909</v>
      </c>
      <c r="X299" s="590">
        <f t="shared" si="148"/>
        <v>-133.64041532334602</v>
      </c>
      <c r="Y299" s="593">
        <f t="shared" si="149"/>
        <v>46.359584676653981</v>
      </c>
      <c r="AA299" s="150">
        <f t="shared" si="150"/>
        <v>1000000000</v>
      </c>
      <c r="AB299" s="150">
        <f t="shared" si="151"/>
        <v>407434225</v>
      </c>
      <c r="AD299" s="592">
        <f t="shared" si="152"/>
        <v>27.578455546160079</v>
      </c>
      <c r="AE299" s="593">
        <f t="shared" si="153"/>
        <v>-9.5512025867533907</v>
      </c>
      <c r="AG299" s="592">
        <f t="shared" si="154"/>
        <v>2.0657728926496408</v>
      </c>
      <c r="AH299" s="593">
        <f t="shared" si="155"/>
        <v>-95.320579642156574</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5">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1.0892539848551595</v>
      </c>
      <c r="N300" s="585">
        <f t="shared" si="142"/>
        <v>-0.40763863091013813</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3.8429619282003316</v>
      </c>
      <c r="X300" s="590">
        <f t="shared" si="148"/>
        <v>-133.8653051229586</v>
      </c>
      <c r="Y300" s="593">
        <f t="shared" si="149"/>
        <v>46.134694877041397</v>
      </c>
      <c r="AA300" s="150">
        <f t="shared" si="150"/>
        <v>1000000000</v>
      </c>
      <c r="AB300" s="150">
        <f t="shared" si="151"/>
        <v>412130601</v>
      </c>
      <c r="AD300" s="592">
        <f t="shared" si="152"/>
        <v>27.577732744047083</v>
      </c>
      <c r="AE300" s="593">
        <f t="shared" si="153"/>
        <v>-9.5628575213107947</v>
      </c>
      <c r="AG300" s="592">
        <f t="shared" si="154"/>
        <v>2.0259627610422406</v>
      </c>
      <c r="AH300" s="593">
        <f t="shared" si="155"/>
        <v>-95.371851615631869</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5">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1.0902345440834103</v>
      </c>
      <c r="N301" s="585">
        <f t="shared" si="142"/>
        <v>-0.40971641875634068</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3.798640700673058</v>
      </c>
      <c r="X301" s="590">
        <f t="shared" si="148"/>
        <v>-134.09000337218583</v>
      </c>
      <c r="Y301" s="593">
        <f t="shared" si="149"/>
        <v>45.909996627814166</v>
      </c>
      <c r="AA301" s="150">
        <f t="shared" si="150"/>
        <v>1000000000</v>
      </c>
      <c r="AB301" s="150">
        <f t="shared" si="151"/>
        <v>416853889</v>
      </c>
      <c r="AD301" s="592">
        <f t="shared" si="152"/>
        <v>27.577010685356647</v>
      </c>
      <c r="AE301" s="593">
        <f t="shared" si="153"/>
        <v>-9.574750824941983</v>
      </c>
      <c r="AG301" s="592">
        <f t="shared" si="154"/>
        <v>1.9864754923959431</v>
      </c>
      <c r="AH301" s="593">
        <f t="shared" si="155"/>
        <v>-95.422749599533844</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5">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1.0912453446131178</v>
      </c>
      <c r="N302" s="585">
        <f t="shared" si="142"/>
        <v>-0.41184405285700743</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3.753483411387629</v>
      </c>
      <c r="X302" s="590">
        <f t="shared" si="148"/>
        <v>-134.32031215291536</v>
      </c>
      <c r="Y302" s="593">
        <f t="shared" si="149"/>
        <v>45.679687847084637</v>
      </c>
      <c r="AA302" s="150">
        <f t="shared" si="150"/>
        <v>1000000000</v>
      </c>
      <c r="AB302" s="150">
        <f t="shared" si="151"/>
        <v>421727296</v>
      </c>
      <c r="AD302" s="592">
        <f t="shared" si="152"/>
        <v>27.576270641468092</v>
      </c>
      <c r="AE302" s="593">
        <f t="shared" si="153"/>
        <v>-9.5871951088116312</v>
      </c>
      <c r="AG302" s="592">
        <f t="shared" si="154"/>
        <v>1.9462989663428119</v>
      </c>
      <c r="AH302" s="593">
        <f t="shared" si="155"/>
        <v>-95.474578283026787</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5">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1.0922610758656106</v>
      </c>
      <c r="N303" s="585">
        <f t="shared" si="142"/>
        <v>-0.41396773943568588</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3.7086366576482579</v>
      </c>
      <c r="X303" s="590">
        <f t="shared" si="148"/>
        <v>-134.55041615548873</v>
      </c>
      <c r="Y303" s="593">
        <f t="shared" si="149"/>
        <v>45.449583844511267</v>
      </c>
      <c r="AA303" s="150">
        <f t="shared" si="150"/>
        <v>1000000000</v>
      </c>
      <c r="AB303" s="150">
        <f t="shared" si="151"/>
        <v>426629025</v>
      </c>
      <c r="AD303" s="592">
        <f t="shared" si="152"/>
        <v>27.575531211987091</v>
      </c>
      <c r="AE303" s="593">
        <f t="shared" si="153"/>
        <v>-9.5998816002190495</v>
      </c>
      <c r="AG303" s="592">
        <f t="shared" si="154"/>
        <v>1.9064550942692002</v>
      </c>
      <c r="AH303" s="593">
        <f t="shared" si="155"/>
        <v>-95.526019407781433</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5">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1.0932817240979833</v>
      </c>
      <c r="N304" s="585">
        <f t="shared" si="142"/>
        <v>-0.41608747036581639</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3.6640968674288028</v>
      </c>
      <c r="X304" s="590">
        <f t="shared" si="148"/>
        <v>-134.78031381145865</v>
      </c>
      <c r="Y304" s="593">
        <f t="shared" si="149"/>
        <v>45.219686188541345</v>
      </c>
      <c r="AA304" s="150">
        <f t="shared" si="150"/>
        <v>1000000000</v>
      </c>
      <c r="AB304" s="150">
        <f t="shared" si="151"/>
        <v>431559076</v>
      </c>
      <c r="AD304" s="592">
        <f t="shared" si="152"/>
        <v>27.574792315497323</v>
      </c>
      <c r="AE304" s="593">
        <f t="shared" si="153"/>
        <v>-9.6128060657703429</v>
      </c>
      <c r="AG304" s="592">
        <f t="shared" si="154"/>
        <v>1.8669403541668219</v>
      </c>
      <c r="AH304" s="593">
        <f t="shared" si="155"/>
        <v>-95.577075924348719</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5">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1.0943072755521983</v>
      </c>
      <c r="N305" s="585">
        <f t="shared" si="142"/>
        <v>-0.41820323769327339</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3.6198605272592372</v>
      </c>
      <c r="X305" s="590">
        <f t="shared" si="148"/>
        <v>-135.01000358374415</v>
      </c>
      <c r="Y305" s="593">
        <f t="shared" si="149"/>
        <v>44.989996416255849</v>
      </c>
      <c r="AA305" s="150">
        <f t="shared" si="150"/>
        <v>1000000000</v>
      </c>
      <c r="AB305" s="150">
        <f t="shared" si="151"/>
        <v>436517449</v>
      </c>
      <c r="AD305" s="592">
        <f t="shared" si="152"/>
        <v>27.574053872922608</v>
      </c>
      <c r="AE305" s="593">
        <f t="shared" si="153"/>
        <v>-9.6259643673637978</v>
      </c>
      <c r="AG305" s="592">
        <f t="shared" si="154"/>
        <v>1.8277512801124638</v>
      </c>
      <c r="AH305" s="593">
        <f t="shared" si="155"/>
        <v>-95.627750718417772</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5">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1.0953615868571625</v>
      </c>
      <c r="N306" s="585">
        <f t="shared" si="142"/>
        <v>-0.42036378863336271</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3.5749123643701237</v>
      </c>
      <c r="X306" s="590">
        <f t="shared" si="148"/>
        <v>-135.24478459692008</v>
      </c>
      <c r="Y306" s="593">
        <f t="shared" si="149"/>
        <v>44.755215403079916</v>
      </c>
      <c r="AA306" s="150">
        <f t="shared" si="150"/>
        <v>1000000000</v>
      </c>
      <c r="AB306" s="150">
        <f t="shared" si="151"/>
        <v>441619717.5625</v>
      </c>
      <c r="AD306" s="592">
        <f t="shared" si="152"/>
        <v>27.573298755172068</v>
      </c>
      <c r="AE306" s="593">
        <f t="shared" si="153"/>
        <v>-9.6396645329934909</v>
      </c>
      <c r="AG306" s="592">
        <f t="shared" si="154"/>
        <v>1.7879900609424877</v>
      </c>
      <c r="AH306" s="593">
        <f t="shared" si="155"/>
        <v>-95.679204455867151</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5">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1.0964210014411007</v>
      </c>
      <c r="N307" s="585">
        <f t="shared" si="142"/>
        <v>-0.42252017436726225</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3.5302745801488653</v>
      </c>
      <c r="X307" s="590">
        <f t="shared" si="148"/>
        <v>-135.47934485011129</v>
      </c>
      <c r="Y307" s="593">
        <f t="shared" si="149"/>
        <v>44.520655149888711</v>
      </c>
      <c r="AA307" s="150">
        <f t="shared" si="150"/>
        <v>1000000000</v>
      </c>
      <c r="AB307" s="150">
        <f t="shared" si="151"/>
        <v>446751632.25</v>
      </c>
      <c r="AD307" s="592">
        <f t="shared" si="152"/>
        <v>27.57254395226385</v>
      </c>
      <c r="AE307" s="593">
        <f t="shared" si="153"/>
        <v>-9.6536009978535162</v>
      </c>
      <c r="AG307" s="592">
        <f t="shared" si="154"/>
        <v>1.7485625682014811</v>
      </c>
      <c r="AH307" s="593">
        <f t="shared" si="155"/>
        <v>-95.730264536186397</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5">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1.0974855045252625</v>
      </c>
      <c r="N308" s="585">
        <f t="shared" si="142"/>
        <v>-0.42467238693184062</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3.4859435936544161</v>
      </c>
      <c r="X308" s="590">
        <f t="shared" si="148"/>
        <v>-135.71368279510438</v>
      </c>
      <c r="Y308" s="593">
        <f t="shared" si="149"/>
        <v>44.286317204895624</v>
      </c>
      <c r="AA308" s="150">
        <f t="shared" si="150"/>
        <v>1000000000</v>
      </c>
      <c r="AB308" s="150">
        <f t="shared" si="151"/>
        <v>451913193.0625</v>
      </c>
      <c r="AD308" s="592">
        <f t="shared" si="152"/>
        <v>27.571789386614171</v>
      </c>
      <c r="AE308" s="593">
        <f t="shared" si="153"/>
        <v>-9.6677696228054497</v>
      </c>
      <c r="AG308" s="592">
        <f t="shared" si="154"/>
        <v>1.7094652643462005</v>
      </c>
      <c r="AH308" s="593">
        <f t="shared" si="155"/>
        <v>-95.780933852108205</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5">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1.098555081317333</v>
      </c>
      <c r="N309" s="585">
        <f t="shared" si="142"/>
        <v>-0.42682041854939823</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3.4419158824850631</v>
      </c>
      <c r="X309" s="590">
        <f t="shared" si="148"/>
        <v>-135.9477969154018</v>
      </c>
      <c r="Y309" s="593">
        <f t="shared" si="149"/>
        <v>44.052203084598204</v>
      </c>
      <c r="AA309" s="150">
        <f t="shared" si="150"/>
        <v>1000000000</v>
      </c>
      <c r="AB309" s="150">
        <f t="shared" si="151"/>
        <v>457104400</v>
      </c>
      <c r="AD309" s="592">
        <f t="shared" si="152"/>
        <v>27.571034982874462</v>
      </c>
      <c r="AE309" s="593">
        <f t="shared" si="153"/>
        <v>-9.6821663618473064</v>
      </c>
      <c r="AG309" s="592">
        <f t="shared" si="154"/>
        <v>1.67069466799757</v>
      </c>
      <c r="AH309" s="593">
        <f t="shared" si="155"/>
        <v>-95.831215233906136</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5">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1.0996540484062332</v>
      </c>
      <c r="N310" s="585">
        <f t="shared" si="142"/>
        <v>-0.42901263675667328</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3.3972037233704615</v>
      </c>
      <c r="X310" s="590">
        <f t="shared" si="148"/>
        <v>-136.18696602164002</v>
      </c>
      <c r="Y310" s="593">
        <f t="shared" si="149"/>
        <v>43.813033978359982</v>
      </c>
      <c r="AA310" s="150">
        <f t="shared" si="150"/>
        <v>1000000000</v>
      </c>
      <c r="AB310" s="150">
        <f t="shared" si="151"/>
        <v>462443520.25</v>
      </c>
      <c r="AD310" s="592">
        <f t="shared" si="152"/>
        <v>27.570263630407105</v>
      </c>
      <c r="AE310" s="593">
        <f t="shared" si="153"/>
        <v>-9.6971200641152109</v>
      </c>
      <c r="AG310" s="592">
        <f t="shared" si="154"/>
        <v>1.6313826399663645</v>
      </c>
      <c r="AH310" s="593">
        <f t="shared" si="155"/>
        <v>-95.882234043733604</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5">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1.1007582896682075</v>
      </c>
      <c r="N311" s="585">
        <f t="shared" si="142"/>
        <v>-0.43120046715127353</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3.3528014265026047</v>
      </c>
      <c r="X311" s="590">
        <f t="shared" si="148"/>
        <v>-136.42589796928578</v>
      </c>
      <c r="Y311" s="593">
        <f t="shared" si="149"/>
        <v>43.574102030714215</v>
      </c>
      <c r="AA311" s="150">
        <f t="shared" si="150"/>
        <v>1000000000</v>
      </c>
      <c r="AB311" s="150">
        <f t="shared" si="151"/>
        <v>467813641</v>
      </c>
      <c r="AD311" s="592">
        <f t="shared" si="152"/>
        <v>27.569492294718792</v>
      </c>
      <c r="AE311" s="593">
        <f t="shared" si="153"/>
        <v>-9.712304031477375</v>
      </c>
      <c r="AG311" s="592">
        <f t="shared" si="154"/>
        <v>1.5924050563410859</v>
      </c>
      <c r="AH311" s="593">
        <f t="shared" si="155"/>
        <v>-95.932852991360889</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5">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1.1018677892466551</v>
      </c>
      <c r="N312" s="585">
        <f t="shared" si="142"/>
        <v>-0.43338390201199206</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3.3087054067909447</v>
      </c>
      <c r="X312" s="590">
        <f t="shared" si="148"/>
        <v>-136.6645912356397</v>
      </c>
      <c r="Y312" s="593">
        <f t="shared" si="149"/>
        <v>43.335408764360295</v>
      </c>
      <c r="AA312" s="150">
        <f t="shared" si="150"/>
        <v>1000000000</v>
      </c>
      <c r="AB312" s="150">
        <f t="shared" si="151"/>
        <v>473214762.25</v>
      </c>
      <c r="AD312" s="592">
        <f t="shared" si="152"/>
        <v>27.568720902010956</v>
      </c>
      <c r="AE312" s="593">
        <f t="shared" si="153"/>
        <v>-9.7277142229299525</v>
      </c>
      <c r="AG312" s="592">
        <f t="shared" si="154"/>
        <v>1.553758368676784</v>
      </c>
      <c r="AH312" s="593">
        <f t="shared" si="155"/>
        <v>-95.983074913318148</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5">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1.1029825312734185</v>
      </c>
      <c r="N313" s="585">
        <f t="shared" si="142"/>
        <v>-0.43556293381625588</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3.2649121375625616</v>
      </c>
      <c r="X313" s="590">
        <f t="shared" si="148"/>
        <v>-136.90304433005116</v>
      </c>
      <c r="Y313" s="593">
        <f t="shared" si="149"/>
        <v>43.096955669948841</v>
      </c>
      <c r="AA313" s="150">
        <f t="shared" si="150"/>
        <v>1000000000</v>
      </c>
      <c r="AB313" s="150">
        <f t="shared" si="151"/>
        <v>478646884</v>
      </c>
      <c r="AD313" s="592">
        <f t="shared" si="152"/>
        <v>27.567949380615833</v>
      </c>
      <c r="AE313" s="593">
        <f t="shared" si="153"/>
        <v>-9.7433466883142668</v>
      </c>
      <c r="AG313" s="592">
        <f t="shared" si="154"/>
        <v>1.5154390846664301</v>
      </c>
      <c r="AH313" s="593">
        <f t="shared" si="155"/>
        <v>-96.032902586189806</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5">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1.1041272970090565</v>
      </c>
      <c r="N314" s="585">
        <f t="shared" si="142"/>
        <v>-0.43778553920604257</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3.2204607909073131</v>
      </c>
      <c r="X314" s="590">
        <f t="shared" si="148"/>
        <v>-137.14651475380023</v>
      </c>
      <c r="Y314" s="593">
        <f t="shared" si="149"/>
        <v>42.853485246199767</v>
      </c>
      <c r="AA314" s="150">
        <f t="shared" si="150"/>
        <v>1000000000</v>
      </c>
      <c r="AB314" s="150">
        <f t="shared" si="151"/>
        <v>484231027.5625</v>
      </c>
      <c r="AD314" s="592">
        <f t="shared" si="152"/>
        <v>27.567160612151142</v>
      </c>
      <c r="AE314" s="593">
        <f t="shared" si="153"/>
        <v>-9.7595501221248284</v>
      </c>
      <c r="AG314" s="592">
        <f t="shared" si="154"/>
        <v>1.4766081440201835</v>
      </c>
      <c r="AH314" s="593">
        <f t="shared" si="155"/>
        <v>-96.08342629224326</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5">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1.1052775057914717</v>
      </c>
      <c r="N315" s="585">
        <f t="shared" si="142"/>
        <v>-0.44000352961807054</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3.1763184483029825</v>
      </c>
      <c r="X315" s="590">
        <f t="shared" si="148"/>
        <v>-137.3897312293573</v>
      </c>
      <c r="Y315" s="593">
        <f t="shared" si="149"/>
        <v>42.610268770642705</v>
      </c>
      <c r="AA315" s="150">
        <f t="shared" si="150"/>
        <v>1000000000</v>
      </c>
      <c r="AB315" s="150">
        <f t="shared" si="151"/>
        <v>489847556.25</v>
      </c>
      <c r="AD315" s="592">
        <f t="shared" si="152"/>
        <v>27.566371564365721</v>
      </c>
      <c r="AE315" s="593">
        <f t="shared" si="153"/>
        <v>-9.7759776927868174</v>
      </c>
      <c r="AG315" s="592">
        <f t="shared" si="154"/>
        <v>1.4381120273363726</v>
      </c>
      <c r="AH315" s="593">
        <f t="shared" si="155"/>
        <v>-96.133543822131927</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5">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1.1064331406454666</v>
      </c>
      <c r="N316" s="585">
        <f t="shared" si="142"/>
        <v>-0.44221689765640981</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3.1324815249496507</v>
      </c>
      <c r="X316" s="590">
        <f t="shared" si="148"/>
        <v>-137.63269226493048</v>
      </c>
      <c r="Y316" s="593">
        <f t="shared" si="149"/>
        <v>42.367307735069517</v>
      </c>
      <c r="AA316" s="150">
        <f t="shared" si="150"/>
        <v>1000000000</v>
      </c>
      <c r="AB316" s="150">
        <f t="shared" si="151"/>
        <v>495496470.0625</v>
      </c>
      <c r="AD316" s="592">
        <f t="shared" si="152"/>
        <v>27.5655821671822</v>
      </c>
      <c r="AE316" s="593">
        <f t="shared" si="153"/>
        <v>-9.7926254604733707</v>
      </c>
      <c r="AG316" s="592">
        <f t="shared" si="154"/>
        <v>1.3999471795874816</v>
      </c>
      <c r="AH316" s="593">
        <f t="shared" si="155"/>
        <v>-96.183257958701546</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5">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1.1075941845867776</v>
      </c>
      <c r="N317" s="585">
        <f t="shared" si="142"/>
        <v>-0.44442563613708319</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3.0889464942481015</v>
      </c>
      <c r="X317" s="590">
        <f t="shared" si="148"/>
        <v>-137.87539640109421</v>
      </c>
      <c r="Y317" s="593">
        <f t="shared" si="149"/>
        <v>42.124603598905793</v>
      </c>
      <c r="AA317" s="150">
        <f t="shared" si="150"/>
        <v>1000000000</v>
      </c>
      <c r="AB317" s="150">
        <f t="shared" si="151"/>
        <v>501177769</v>
      </c>
      <c r="AD317" s="592">
        <f t="shared" si="152"/>
        <v>27.564792352550857</v>
      </c>
      <c r="AE317" s="593">
        <f t="shared" si="153"/>
        <v>-9.809489573801228</v>
      </c>
      <c r="AG317" s="592">
        <f t="shared" si="154"/>
        <v>1.3621101017606358</v>
      </c>
      <c r="AH317" s="593">
        <f t="shared" si="155"/>
        <v>-96.232571427451461</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5">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1.1087904821862782</v>
      </c>
      <c r="N318" s="585">
        <f t="shared" si="142"/>
        <v>-0.4466859706752358</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3.0446094895682791</v>
      </c>
      <c r="X318" s="590">
        <f t="shared" si="148"/>
        <v>-138.12403094728379</v>
      </c>
      <c r="Y318" s="593">
        <f t="shared" si="149"/>
        <v>41.875969052716215</v>
      </c>
      <c r="AA318" s="150">
        <f t="shared" si="150"/>
        <v>1000000000</v>
      </c>
      <c r="AB318" s="150">
        <f t="shared" si="151"/>
        <v>507037806.25</v>
      </c>
      <c r="AD318" s="592">
        <f t="shared" si="152"/>
        <v>27.563981863044802</v>
      </c>
      <c r="AE318" s="593">
        <f t="shared" si="153"/>
        <v>-9.8270051620790486</v>
      </c>
      <c r="AG318" s="592">
        <f t="shared" si="154"/>
        <v>1.3236434809832698</v>
      </c>
      <c r="AH318" s="593">
        <f t="shared" si="155"/>
        <v>-96.28273102393365</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5">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1.1099924324931225</v>
      </c>
      <c r="N319" s="585">
        <f t="shared" si="142"/>
        <v>-0.44894142152984501</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3.0005826647095883</v>
      </c>
      <c r="X319" s="590">
        <f t="shared" si="148"/>
        <v>-138.37239229668444</v>
      </c>
      <c r="Y319" s="593">
        <f t="shared" si="149"/>
        <v>41.627607703315562</v>
      </c>
      <c r="AA319" s="150">
        <f t="shared" si="150"/>
        <v>1000000000</v>
      </c>
      <c r="AB319" s="150">
        <f t="shared" si="151"/>
        <v>512931904</v>
      </c>
      <c r="AD319" s="592">
        <f t="shared" si="152"/>
        <v>27.563170795778564</v>
      </c>
      <c r="AE319" s="593">
        <f t="shared" si="153"/>
        <v>-9.844740358227531</v>
      </c>
      <c r="AG319" s="592">
        <f t="shared" si="154"/>
        <v>1.2855143080128306</v>
      </c>
      <c r="AH319" s="593">
        <f t="shared" si="155"/>
        <v>-96.33247485405353</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5">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1.1112000171642404</v>
      </c>
      <c r="N320" s="585">
        <f t="shared" si="142"/>
        <v>-0.45119198163856988</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2.9568623981591067</v>
      </c>
      <c r="X320" s="590">
        <f t="shared" si="148"/>
        <v>-138.62047897725341</v>
      </c>
      <c r="Y320" s="593">
        <f t="shared" si="149"/>
        <v>41.379521022746587</v>
      </c>
      <c r="AA320" s="150">
        <f t="shared" si="150"/>
        <v>1000000000</v>
      </c>
      <c r="AB320" s="150">
        <f t="shared" si="151"/>
        <v>518860062.25</v>
      </c>
      <c r="AD320" s="592">
        <f t="shared" si="152"/>
        <v>27.562359083560118</v>
      </c>
      <c r="AE320" s="593">
        <f t="shared" si="153"/>
        <v>-9.8626912819422117</v>
      </c>
      <c r="AG320" s="592">
        <f t="shared" si="154"/>
        <v>1.2477189843734522</v>
      </c>
      <c r="AH320" s="593">
        <f t="shared" si="155"/>
        <v>-96.381805681642646</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5">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1.1124132178504114</v>
      </c>
      <c r="N321" s="585">
        <f t="shared" si="142"/>
        <v>-0.45343764416783616</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2.9134451271869337</v>
      </c>
      <c r="X321" s="590">
        <f t="shared" si="148"/>
        <v>-138.86828955011714</v>
      </c>
      <c r="Y321" s="593">
        <f t="shared" si="149"/>
        <v>41.13171044988286</v>
      </c>
      <c r="AA321" s="150">
        <f t="shared" si="150"/>
        <v>1000000000</v>
      </c>
      <c r="AB321" s="150">
        <f t="shared" si="151"/>
        <v>524822281</v>
      </c>
      <c r="AD321" s="592">
        <f t="shared" si="152"/>
        <v>27.561546661153088</v>
      </c>
      <c r="AE321" s="593">
        <f t="shared" si="153"/>
        <v>-9.8808541401852743</v>
      </c>
      <c r="AG321" s="592">
        <f t="shared" si="154"/>
        <v>1.2102539682464168</v>
      </c>
      <c r="AH321" s="593">
        <f t="shared" si="155"/>
        <v>-96.43072621501517</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5">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1.1136577597762765</v>
      </c>
      <c r="N322" s="585">
        <f t="shared" si="142"/>
        <v>-0.45572556874893672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2.8694219312422269</v>
      </c>
      <c r="X322" s="590">
        <f t="shared" si="148"/>
        <v>-139.12103582720286</v>
      </c>
      <c r="Y322" s="593">
        <f t="shared" si="149"/>
        <v>40.87896417279714</v>
      </c>
      <c r="AA322" s="150">
        <f t="shared" si="150"/>
        <v>1000000000</v>
      </c>
      <c r="AB322" s="150">
        <f t="shared" si="151"/>
        <v>530945285.0625</v>
      </c>
      <c r="AD322" s="592">
        <f t="shared" si="152"/>
        <v>27.560716320126932</v>
      </c>
      <c r="AE322" s="593">
        <f t="shared" si="153"/>
        <v>-9.8996145686308683</v>
      </c>
      <c r="AG322" s="592">
        <f t="shared" si="154"/>
        <v>1.1723366586893165</v>
      </c>
      <c r="AH322" s="593">
        <f t="shared" si="155"/>
        <v>-96.480257044547997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5">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1.1149081182212923</v>
      </c>
      <c r="N323" s="585">
        <f t="shared" si="142"/>
        <v>-0.45800837348767609</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2.82570730987783</v>
      </c>
      <c r="X323" s="590">
        <f t="shared" si="148"/>
        <v>-139.37349130839397</v>
      </c>
      <c r="Y323" s="593">
        <f t="shared" si="149"/>
        <v>40.626508691606034</v>
      </c>
      <c r="AA323" s="150">
        <f t="shared" si="150"/>
        <v>1000000000</v>
      </c>
      <c r="AB323" s="150">
        <f t="shared" si="151"/>
        <v>537103800.25</v>
      </c>
      <c r="AD323" s="592">
        <f t="shared" si="152"/>
        <v>27.559885107156163</v>
      </c>
      <c r="AE323" s="593">
        <f t="shared" si="153"/>
        <v>-9.9185882330056234</v>
      </c>
      <c r="AG323" s="592">
        <f t="shared" si="154"/>
        <v>1.1347564364255216</v>
      </c>
      <c r="AH323" s="593">
        <f t="shared" si="155"/>
        <v>-96.529365643235749</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5">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1.1161642736379764</v>
      </c>
      <c r="N324" s="585">
        <f t="shared" si="142"/>
        <v>-0.46028605183797772</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2.7822976516588129</v>
      </c>
      <c r="X324" s="590">
        <f t="shared" si="148"/>
        <v>-139.62565456500829</v>
      </c>
      <c r="Y324" s="593">
        <f t="shared" si="149"/>
        <v>40.37434543499171</v>
      </c>
      <c r="AA324" s="150">
        <f t="shared" si="150"/>
        <v>1000000000</v>
      </c>
      <c r="AB324" s="150">
        <f t="shared" si="151"/>
        <v>543297826.5625</v>
      </c>
      <c r="AD324" s="592">
        <f t="shared" si="152"/>
        <v>27.559052958687367</v>
      </c>
      <c r="AE324" s="593">
        <f t="shared" si="153"/>
        <v>-9.9377713614133683</v>
      </c>
      <c r="AG324" s="592">
        <f t="shared" si="154"/>
        <v>1.0975097058460652</v>
      </c>
      <c r="AH324" s="593">
        <f t="shared" si="155"/>
        <v>-96.578054726692656</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5">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1.1174262064763207</v>
      </c>
      <c r="N325" s="585">
        <f t="shared" si="142"/>
        <v>-0.46255859749588851</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2.7391894035086528</v>
      </c>
      <c r="X325" s="590">
        <f t="shared" si="148"/>
        <v>-139.87752420180348</v>
      </c>
      <c r="Y325" s="593">
        <f t="shared" si="149"/>
        <v>40.122475798196518</v>
      </c>
      <c r="AA325" s="150">
        <f t="shared" si="150"/>
        <v>1000000000</v>
      </c>
      <c r="AB325" s="150">
        <f t="shared" si="151"/>
        <v>549527364</v>
      </c>
      <c r="AD325" s="592">
        <f t="shared" si="152"/>
        <v>27.558219813020735</v>
      </c>
      <c r="AE325" s="593">
        <f t="shared" si="153"/>
        <v>-9.9571602665700993</v>
      </c>
      <c r="AG325" s="592">
        <f t="shared" si="154"/>
        <v>1.0605929276671882</v>
      </c>
      <c r="AH325" s="593">
        <f t="shared" si="155"/>
        <v>-96.626326957799492</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5">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1.1187248882361276</v>
      </c>
      <c r="N326" s="585">
        <f t="shared" si="142"/>
        <v>-0.46488124275943205</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2.6953386075145218</v>
      </c>
      <c r="X326" s="590">
        <f t="shared" si="148"/>
        <v>-140.13523112718269</v>
      </c>
      <c r="Y326" s="593">
        <f t="shared" si="149"/>
        <v>39.864768872817308</v>
      </c>
      <c r="AA326" s="150">
        <f t="shared" si="150"/>
        <v>1000000000</v>
      </c>
      <c r="AB326" s="150">
        <f t="shared" si="151"/>
        <v>555945662.25</v>
      </c>
      <c r="AD326" s="592">
        <f t="shared" si="152"/>
        <v>27.557365250138901</v>
      </c>
      <c r="AE326" s="593">
        <f t="shared" si="153"/>
        <v>-9.9772316703369572</v>
      </c>
      <c r="AG326" s="592">
        <f t="shared" si="154"/>
        <v>1.0231142205073296</v>
      </c>
      <c r="AH326" s="593">
        <f t="shared" si="155"/>
        <v>-96.675347063298602</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5">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1.1200295911452638</v>
      </c>
      <c r="N327" s="585">
        <f t="shared" si="142"/>
        <v>-0.46719848928176932</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2.6517967380059111</v>
      </c>
      <c r="X327" s="590">
        <f t="shared" si="148"/>
        <v>-140.39262707610354</v>
      </c>
      <c r="Y327" s="593">
        <f t="shared" si="149"/>
        <v>39.607372923896463</v>
      </c>
      <c r="AA327" s="150">
        <f t="shared" si="150"/>
        <v>1000000000</v>
      </c>
      <c r="AB327" s="150">
        <f t="shared" si="151"/>
        <v>562401225</v>
      </c>
      <c r="AD327" s="592">
        <f t="shared" si="152"/>
        <v>27.556509515447061</v>
      </c>
      <c r="AE327" s="593">
        <f t="shared" si="153"/>
        <v>-9.997511440091138</v>
      </c>
      <c r="AG327" s="592">
        <f t="shared" si="154"/>
        <v>0.98597441448656142</v>
      </c>
      <c r="AH327" s="593">
        <f t="shared" si="155"/>
        <v>-96.723935228967377</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5">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1.1213402941865294</v>
      </c>
      <c r="N328" s="585">
        <f t="shared" si="142"/>
        <v>-0.46951033106552342</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2.6085601576168282</v>
      </c>
      <c r="X328" s="590">
        <f t="shared" si="148"/>
        <v>-140.64971065389042</v>
      </c>
      <c r="Y328" s="593">
        <f t="shared" si="149"/>
        <v>39.350289346109577</v>
      </c>
      <c r="AA328" s="150">
        <f t="shared" si="150"/>
        <v>1000000000</v>
      </c>
      <c r="AB328" s="150">
        <f t="shared" si="151"/>
        <v>568894052.25</v>
      </c>
      <c r="AD328" s="592">
        <f t="shared" si="152"/>
        <v>27.555652548271219</v>
      </c>
      <c r="AE328" s="593">
        <f t="shared" si="153"/>
        <v>-10.017995872999327</v>
      </c>
      <c r="AG328" s="592">
        <f t="shared" si="154"/>
        <v>0.94916988083826581</v>
      </c>
      <c r="AH328" s="593">
        <f t="shared" si="155"/>
        <v>-96.772094156476768</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5">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1.1226569763444458</v>
      </c>
      <c r="N329" s="585">
        <f t="shared" si="142"/>
        <v>-0.47181676237234937</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2.5656252876934365</v>
      </c>
      <c r="X329" s="590">
        <f t="shared" si="148"/>
        <v>-140.90648050005473</v>
      </c>
      <c r="Y329" s="593">
        <f t="shared" si="149"/>
        <v>39.093519499945273</v>
      </c>
      <c r="AA329" s="150">
        <f t="shared" si="150"/>
        <v>1000000000</v>
      </c>
      <c r="AB329" s="150">
        <f t="shared" si="151"/>
        <v>575424144</v>
      </c>
      <c r="AD329" s="592">
        <f t="shared" si="152"/>
        <v>27.55479428971741</v>
      </c>
      <c r="AE329" s="593">
        <f t="shared" si="153"/>
        <v>-10.038681349340679</v>
      </c>
      <c r="AG329" s="592">
        <f t="shared" si="154"/>
        <v>0.91269704753678904</v>
      </c>
      <c r="AH329" s="593">
        <f t="shared" si="155"/>
        <v>-96.819826496833457</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5">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1.1240111804870394</v>
      </c>
      <c r="N330" s="585">
        <f t="shared" si="142"/>
        <v>-0.47417249774640247</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2.5219770537144477</v>
      </c>
      <c r="X330" s="590">
        <f t="shared" si="148"/>
        <v>-141.1690375033393</v>
      </c>
      <c r="Y330" s="593">
        <f t="shared" si="149"/>
        <v>38.830962496660703</v>
      </c>
      <c r="AA330" s="150">
        <f t="shared" si="150"/>
        <v>1000000000</v>
      </c>
      <c r="AB330" s="150">
        <f t="shared" si="151"/>
        <v>582148320.0625</v>
      </c>
      <c r="AD330" s="592">
        <f t="shared" si="152"/>
        <v>27.553914198880062</v>
      </c>
      <c r="AE330" s="593">
        <f t="shared" si="153"/>
        <v>-10.06006392261907</v>
      </c>
      <c r="AG330" s="592">
        <f t="shared" si="154"/>
        <v>0.87569578255867409</v>
      </c>
      <c r="AH330" s="593">
        <f t="shared" si="155"/>
        <v>-96.868256094978079</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5">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1.1253716072852094</v>
      </c>
      <c r="N331" s="585">
        <f t="shared" si="142"/>
        <v>-0.47652255058512233</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2.4786376598626685</v>
      </c>
      <c r="X331" s="590">
        <f t="shared" si="148"/>
        <v>-141.43126287862245</v>
      </c>
      <c r="Y331" s="593">
        <f t="shared" si="149"/>
        <v>38.568737121377552</v>
      </c>
      <c r="AA331" s="150">
        <f t="shared" si="150"/>
        <v>1000000000</v>
      </c>
      <c r="AB331" s="150">
        <f t="shared" si="151"/>
        <v>588911556.25</v>
      </c>
      <c r="AD331" s="592">
        <f t="shared" si="152"/>
        <v>27.553032634966534</v>
      </c>
      <c r="AE331" s="593">
        <f t="shared" si="153"/>
        <v>-10.081649805101437</v>
      </c>
      <c r="AG331" s="592">
        <f t="shared" si="154"/>
        <v>0.8390348006714099</v>
      </c>
      <c r="AH331" s="593">
        <f t="shared" si="155"/>
        <v>-96.916244018716313</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5">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1.1267382341992016</v>
      </c>
      <c r="N332" s="585">
        <f t="shared" si="142"/>
        <v>-0.47886691556141037</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2.4356034485756699</v>
      </c>
      <c r="X332" s="590">
        <f t="shared" si="148"/>
        <v>-141.69315527324864</v>
      </c>
      <c r="Y332" s="593">
        <f t="shared" si="149"/>
        <v>38.306844726751365</v>
      </c>
      <c r="AA332" s="150">
        <f t="shared" si="150"/>
        <v>1000000000</v>
      </c>
      <c r="AB332" s="150">
        <f t="shared" si="151"/>
        <v>595713852.5625</v>
      </c>
      <c r="AD332" s="592">
        <f t="shared" si="152"/>
        <v>27.552149540191554</v>
      </c>
      <c r="AE332" s="593">
        <f t="shared" si="153"/>
        <v>-10.103435368048043</v>
      </c>
      <c r="AG332" s="592">
        <f t="shared" si="154"/>
        <v>0.80271044539688297</v>
      </c>
      <c r="AH332" s="593">
        <f t="shared" si="155"/>
        <v>-96.963792958867828</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5">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1.1281110386960085</v>
      </c>
      <c r="N333" s="585">
        <f t="shared" ref="N333:N396" si="174">-ATAN(G333/z_RHP)</f>
        <v>-0.48120558762400739</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2.3928708212384171</v>
      </c>
      <c r="X333" s="590">
        <f t="shared" ref="X333:X396" si="180">((L333+R333+N333+V333)-(J333+P333+T333))*radconv</f>
        <v>-141.95471336945826</v>
      </c>
      <c r="Y333" s="593">
        <f t="shared" ref="Y333:Y396" si="181">IF(X333&gt;0,X333,X333+180)</f>
        <v>38.045286630541739</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0.76671911729588826</v>
      </c>
      <c r="AH333" s="593">
        <f t="shared" ref="AH333:AH396" si="187">(L333+N333-(J333+V333))*radconv</f>
        <v>-97.010905557774123</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5">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1.1295221401315814</v>
      </c>
      <c r="N334" s="585">
        <f t="shared" si="174"/>
        <v>-0.48359274938351998</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2.3494529042174976</v>
      </c>
      <c r="X334" s="590">
        <f t="shared" si="180"/>
        <v>-142.22200682299467</v>
      </c>
      <c r="Y334" s="593">
        <f t="shared" si="181"/>
        <v>37.777993177005328</v>
      </c>
      <c r="AA334" s="150">
        <f t="shared" si="182"/>
        <v>1000000000</v>
      </c>
      <c r="AB334" s="150">
        <f t="shared" si="183"/>
        <v>609596100</v>
      </c>
      <c r="AD334" s="592">
        <f t="shared" si="184"/>
        <v>27.550357903264846</v>
      </c>
      <c r="AE334" s="593">
        <f t="shared" si="185"/>
        <v>-10.148109373156853</v>
      </c>
      <c r="AG334" s="592">
        <f t="shared" si="186"/>
        <v>0.7302318196955091</v>
      </c>
      <c r="AH334" s="593">
        <f t="shared" si="187"/>
        <v>-97.058664825382195</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5">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1.1309396621120333</v>
      </c>
      <c r="N335" s="585">
        <f t="shared" si="174"/>
        <v>-0.48597394053765447</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2.3063433213307398</v>
      </c>
      <c r="X335" s="590">
        <f t="shared" si="180"/>
        <v>-142.48894756613157</v>
      </c>
      <c r="Y335" s="593">
        <f t="shared" si="181"/>
        <v>37.511052433868429</v>
      </c>
      <c r="AA335" s="150">
        <f t="shared" si="182"/>
        <v>1000000000</v>
      </c>
      <c r="AB335" s="150">
        <f t="shared" si="183"/>
        <v>616677889</v>
      </c>
      <c r="AD335" s="592">
        <f t="shared" si="184"/>
        <v>27.549449172865728</v>
      </c>
      <c r="AE335" s="593">
        <f t="shared" si="185"/>
        <v>-10.170999780449947</v>
      </c>
      <c r="AG335" s="592">
        <f t="shared" si="186"/>
        <v>0.69408577132077687</v>
      </c>
      <c r="AH335" s="593">
        <f t="shared" si="187"/>
        <v>-97.105972670114525</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5">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1.1323635805251528</v>
      </c>
      <c r="N336" s="585">
        <f t="shared" si="174"/>
        <v>-0.48834915655660577</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2.2635384002669969</v>
      </c>
      <c r="X336" s="590">
        <f t="shared" si="180"/>
        <v>-142.75553429641624</v>
      </c>
      <c r="Y336" s="593">
        <f t="shared" si="181"/>
        <v>37.244465703583757</v>
      </c>
      <c r="AA336" s="150">
        <f t="shared" si="182"/>
        <v>1000000000</v>
      </c>
      <c r="AB336" s="150">
        <f t="shared" si="183"/>
        <v>623800576</v>
      </c>
      <c r="AD336" s="592">
        <f t="shared" si="184"/>
        <v>27.548538612373704</v>
      </c>
      <c r="AE336" s="593">
        <f t="shared" si="185"/>
        <v>-10.194084735587701</v>
      </c>
      <c r="AG336" s="592">
        <f t="shared" si="186"/>
        <v>0.65827729314996453</v>
      </c>
      <c r="AH336" s="593">
        <f t="shared" si="187"/>
        <v>-97.152831775948883</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5">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1.1337938712713262</v>
      </c>
      <c r="N337" s="585">
        <f t="shared" si="174"/>
        <v>-0.49071839320294874</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2.2210345277877614</v>
      </c>
      <c r="X337" s="590">
        <f t="shared" si="180"/>
        <v>-143.02176574696128</v>
      </c>
      <c r="Y337" s="593">
        <f t="shared" si="181"/>
        <v>36.978234253038721</v>
      </c>
      <c r="AA337" s="150">
        <f t="shared" si="182"/>
        <v>1000000000</v>
      </c>
      <c r="AB337" s="150">
        <f t="shared" si="183"/>
        <v>630964161</v>
      </c>
      <c r="AD337" s="592">
        <f t="shared" si="184"/>
        <v>27.547626168515134</v>
      </c>
      <c r="AE337" s="593">
        <f t="shared" si="185"/>
        <v>-10.217360767748804</v>
      </c>
      <c r="AG337" s="592">
        <f t="shared" si="186"/>
        <v>0.62280276338883311</v>
      </c>
      <c r="AH337" s="593">
        <f t="shared" si="187"/>
        <v>-97.199244780657153</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5">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1.1352632347410829</v>
      </c>
      <c r="N338" s="585">
        <f t="shared" si="174"/>
        <v>-0.49313528726515771</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2.1778723424379791</v>
      </c>
      <c r="X338" s="590">
        <f t="shared" si="180"/>
        <v>-143.29367914525898</v>
      </c>
      <c r="Y338" s="593">
        <f t="shared" si="181"/>
        <v>36.706320854741023</v>
      </c>
      <c r="AA338" s="150">
        <f t="shared" si="182"/>
        <v>1000000000</v>
      </c>
      <c r="AB338" s="150">
        <f t="shared" si="183"/>
        <v>638332857.5625</v>
      </c>
      <c r="AD338" s="592">
        <f t="shared" si="184"/>
        <v>27.546690985368024</v>
      </c>
      <c r="AE338" s="593">
        <f t="shared" si="185"/>
        <v>-10.241359904870981</v>
      </c>
      <c r="AG338" s="592">
        <f t="shared" si="186"/>
        <v>0.58686369766243018</v>
      </c>
      <c r="AH338" s="593">
        <f t="shared" si="187"/>
        <v>-97.246253904349871</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5">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1.1367392125447977</v>
      </c>
      <c r="N339" s="585">
        <f t="shared" si="174"/>
        <v>-0.4955459190364529</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2.1350175841761541</v>
      </c>
      <c r="X339" s="590">
        <f t="shared" si="180"/>
        <v>-143.56521836199244</v>
      </c>
      <c r="Y339" s="593">
        <f t="shared" si="181"/>
        <v>36.434781638007564</v>
      </c>
      <c r="AA339" s="150">
        <f t="shared" si="182"/>
        <v>1000000000</v>
      </c>
      <c r="AB339" s="150">
        <f t="shared" si="183"/>
        <v>645744332.25</v>
      </c>
      <c r="AD339" s="592">
        <f t="shared" si="184"/>
        <v>27.545753724550138</v>
      </c>
      <c r="AE339" s="593">
        <f t="shared" si="185"/>
        <v>-10.265551805177939</v>
      </c>
      <c r="AG339" s="592">
        <f t="shared" si="186"/>
        <v>0.55126644752228704</v>
      </c>
      <c r="AH339" s="593">
        <f t="shared" si="187"/>
        <v>-97.29280185880684</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5">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1.1382217789512552</v>
      </c>
      <c r="N340" s="585">
        <f t="shared" si="174"/>
        <v>-0.49795028491601867</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2.0924665711078028</v>
      </c>
      <c r="X340" s="590">
        <f t="shared" si="180"/>
        <v>-143.83638215323774</v>
      </c>
      <c r="Y340" s="593">
        <f t="shared" si="181"/>
        <v>36.163617846762264</v>
      </c>
      <c r="AA340" s="150">
        <f t="shared" si="182"/>
        <v>1000000000</v>
      </c>
      <c r="AB340" s="150">
        <f t="shared" si="183"/>
        <v>653198585.0625</v>
      </c>
      <c r="AD340" s="592">
        <f t="shared" si="184"/>
        <v>27.544814334016074</v>
      </c>
      <c r="AE340" s="593">
        <f t="shared" si="185"/>
        <v>-10.289932999905458</v>
      </c>
      <c r="AG340" s="592">
        <f t="shared" si="186"/>
        <v>0.51600731629526142</v>
      </c>
      <c r="AH340" s="593">
        <f t="shared" si="187"/>
        <v>-97.338891325998063</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5">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1.1397109082485644</v>
      </c>
      <c r="N341" s="585">
        <f t="shared" si="174"/>
        <v>-0.5003483816115154</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2.0502156804352367</v>
      </c>
      <c r="X341" s="590">
        <f t="shared" si="180"/>
        <v>-144.10716931125936</v>
      </c>
      <c r="Y341" s="593">
        <f t="shared" si="181"/>
        <v>35.892830688740645</v>
      </c>
      <c r="AA341" s="150">
        <f t="shared" si="182"/>
        <v>1000000000</v>
      </c>
      <c r="AB341" s="150">
        <f t="shared" si="183"/>
        <v>660695616</v>
      </c>
      <c r="AD341" s="592">
        <f t="shared" si="184"/>
        <v>27.543872763276443</v>
      </c>
      <c r="AE341" s="593">
        <f t="shared" si="185"/>
        <v>-10.314500097993838</v>
      </c>
      <c r="AG341" s="592">
        <f t="shared" si="186"/>
        <v>0.48108266462324434</v>
      </c>
      <c r="AH341" s="593">
        <f t="shared" si="187"/>
        <v>-97.384524944019219</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5">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1.1412424483563248</v>
      </c>
      <c r="N342" s="585">
        <f t="shared" si="174"/>
        <v>-0.50279736951069132</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2.007260916190424</v>
      </c>
      <c r="X342" s="590">
        <f t="shared" si="180"/>
        <v>-144.38404536039096</v>
      </c>
      <c r="Y342" s="593">
        <f t="shared" si="181"/>
        <v>35.615954639609043</v>
      </c>
      <c r="AA342" s="150">
        <f t="shared" si="182"/>
        <v>1000000000</v>
      </c>
      <c r="AB342" s="150">
        <f t="shared" si="183"/>
        <v>668416389.0625</v>
      </c>
      <c r="AD342" s="592">
        <f t="shared" si="184"/>
        <v>27.542906348972625</v>
      </c>
      <c r="AE342" s="593">
        <f t="shared" si="185"/>
        <v>-10.339844294231863</v>
      </c>
      <c r="AG342" s="592">
        <f t="shared" si="186"/>
        <v>0.44566504939639495</v>
      </c>
      <c r="AH342" s="593">
        <f t="shared" si="187"/>
        <v>-97.430781015979136</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5">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1.1427808147431633</v>
      </c>
      <c r="N343" s="585">
        <f t="shared" si="174"/>
        <v>-0.50523977856401181</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1.9646133079004044</v>
      </c>
      <c r="X343" s="590">
        <f t="shared" si="180"/>
        <v>-144.6605240844199</v>
      </c>
      <c r="Y343" s="593">
        <f t="shared" si="181"/>
        <v>35.339475915580095</v>
      </c>
      <c r="AA343" s="150">
        <f t="shared" si="182"/>
        <v>1000000000</v>
      </c>
      <c r="AB343" s="150">
        <f t="shared" si="183"/>
        <v>676182012.25</v>
      </c>
      <c r="AD343" s="592">
        <f t="shared" si="184"/>
        <v>27.541937546502595</v>
      </c>
      <c r="AE343" s="593">
        <f t="shared" si="185"/>
        <v>-10.365376442820908</v>
      </c>
      <c r="AG343" s="592">
        <f t="shared" si="186"/>
        <v>0.41059057077442906</v>
      </c>
      <c r="AH343" s="593">
        <f t="shared" si="187"/>
        <v>-97.476564622816781</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5">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1.1443259798785024</v>
      </c>
      <c r="N344" s="585">
        <f t="shared" si="174"/>
        <v>-0.5076756062232598</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1.9222691506024123</v>
      </c>
      <c r="X344" s="590">
        <f t="shared" si="180"/>
        <v>-144.93660430056624</v>
      </c>
      <c r="Y344" s="593">
        <f t="shared" si="181"/>
        <v>35.063395699433755</v>
      </c>
      <c r="AA344" s="150">
        <f t="shared" si="182"/>
        <v>1000000000</v>
      </c>
      <c r="AB344" s="150">
        <f t="shared" si="183"/>
        <v>683992485.5625</v>
      </c>
      <c r="AD344" s="592">
        <f t="shared" si="184"/>
        <v>27.540966306402023</v>
      </c>
      <c r="AE344" s="593">
        <f t="shared" si="185"/>
        <v>-10.391093142558015</v>
      </c>
      <c r="AG344" s="592">
        <f t="shared" si="186"/>
        <v>0.37585550055925254</v>
      </c>
      <c r="AH344" s="593">
        <f t="shared" si="187"/>
        <v>-97.521878463445304</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5">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1.1458779162589177</v>
      </c>
      <c r="N345" s="585">
        <f t="shared" si="174"/>
        <v>-0.51010485026632302</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1.8802247987536991</v>
      </c>
      <c r="X345" s="590">
        <f t="shared" si="180"/>
        <v>-145.21228486305597</v>
      </c>
      <c r="Y345" s="593">
        <f t="shared" si="181"/>
        <v>34.78771513694403</v>
      </c>
      <c r="AA345" s="150">
        <f t="shared" si="182"/>
        <v>1000000000</v>
      </c>
      <c r="AB345" s="150">
        <f t="shared" si="183"/>
        <v>691847809</v>
      </c>
      <c r="AD345" s="592">
        <f t="shared" si="184"/>
        <v>27.539992580698605</v>
      </c>
      <c r="AE345" s="593">
        <f t="shared" si="185"/>
        <v>-10.416991068417683</v>
      </c>
      <c r="AG345" s="592">
        <f t="shared" si="186"/>
        <v>0.34145616824292468</v>
      </c>
      <c r="AH345" s="593">
        <f t="shared" si="187"/>
        <v>-97.566725194991662</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5">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1.1474704987550512</v>
      </c>
      <c r="N346" s="585">
        <f t="shared" si="174"/>
        <v>-0.51258001433409661</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1.8375738696066111</v>
      </c>
      <c r="X346" s="590">
        <f t="shared" si="180"/>
        <v>-145.49353456405166</v>
      </c>
      <c r="Y346" s="593">
        <f t="shared" si="181"/>
        <v>34.506465435948343</v>
      </c>
      <c r="AA346" s="150">
        <f t="shared" si="182"/>
        <v>1000000000</v>
      </c>
      <c r="AB346" s="150">
        <f t="shared" si="183"/>
        <v>699919936</v>
      </c>
      <c r="AD346" s="592">
        <f t="shared" si="184"/>
        <v>27.538995106883092</v>
      </c>
      <c r="AE346" s="593">
        <f t="shared" si="185"/>
        <v>-10.443634839780684</v>
      </c>
      <c r="AG346" s="592">
        <f t="shared" si="186"/>
        <v>0.30665326019079986</v>
      </c>
      <c r="AH346" s="593">
        <f t="shared" si="187"/>
        <v>-97.612065524365946</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5">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1.1490700916454599</v>
      </c>
      <c r="N347" s="585">
        <f t="shared" si="174"/>
        <v>-0.51504830225572329</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1.7952283909392541</v>
      </c>
      <c r="X347" s="590">
        <f t="shared" si="180"/>
        <v>-145.77436477318139</v>
      </c>
      <c r="Y347" s="593">
        <f t="shared" si="181"/>
        <v>34.225635226818611</v>
      </c>
      <c r="AA347" s="150">
        <f t="shared" si="182"/>
        <v>1000000000</v>
      </c>
      <c r="AB347" s="150">
        <f t="shared" si="183"/>
        <v>708038881</v>
      </c>
      <c r="AD347" s="592">
        <f t="shared" si="184"/>
        <v>27.537994941714707</v>
      </c>
      <c r="AE347" s="593">
        <f t="shared" si="185"/>
        <v>-10.470461005782775</v>
      </c>
      <c r="AG347" s="592">
        <f t="shared" si="186"/>
        <v>0.27219325367896474</v>
      </c>
      <c r="AH347" s="593">
        <f t="shared" si="187"/>
        <v>-97.656923729957953</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5">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1.1506766656940151</v>
      </c>
      <c r="N348" s="585">
        <f t="shared" si="174"/>
        <v>-0.51750971269441304</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1.7531846585049073</v>
      </c>
      <c r="X348" s="590">
        <f t="shared" si="180"/>
        <v>-146.05477438388559</v>
      </c>
      <c r="Y348" s="593">
        <f t="shared" si="181"/>
        <v>33.945225616114413</v>
      </c>
      <c r="AA348" s="150">
        <f t="shared" si="182"/>
        <v>1000000000</v>
      </c>
      <c r="AB348" s="150">
        <f t="shared" si="183"/>
        <v>716204644</v>
      </c>
      <c r="AD348" s="592">
        <f t="shared" si="184"/>
        <v>27.536992038537772</v>
      </c>
      <c r="AE348" s="593">
        <f t="shared" si="185"/>
        <v>-10.49746625288585</v>
      </c>
      <c r="AG348" s="592">
        <f t="shared" si="186"/>
        <v>0.23807241257410236</v>
      </c>
      <c r="AH348" s="593">
        <f t="shared" si="187"/>
        <v>-97.70130251992785</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5">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1.1522901917003976</v>
      </c>
      <c r="N349" s="585">
        <f t="shared" si="174"/>
        <v>-0.51996424465415225</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1.7114390273071045</v>
      </c>
      <c r="X349" s="590">
        <f t="shared" si="180"/>
        <v>-146.33476232712073</v>
      </c>
      <c r="Y349" s="593">
        <f t="shared" si="181"/>
        <v>33.665237672879272</v>
      </c>
      <c r="AA349" s="150">
        <f t="shared" si="182"/>
        <v>1000000000</v>
      </c>
      <c r="AB349" s="150">
        <f t="shared" si="183"/>
        <v>724417225</v>
      </c>
      <c r="AD349" s="592">
        <f t="shared" si="184"/>
        <v>27.535986352115103</v>
      </c>
      <c r="AE349" s="593">
        <f t="shared" si="185"/>
        <v>-10.524647341587006</v>
      </c>
      <c r="AG349" s="592">
        <f t="shared" si="186"/>
        <v>0.20428705832680141</v>
      </c>
      <c r="AH349" s="593">
        <f t="shared" si="187"/>
        <v>-97.745204563044396</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5">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1.1539504440546862</v>
      </c>
      <c r="N350" s="585">
        <f t="shared" si="174"/>
        <v>-0.52247180259388726</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1.6689756192346223</v>
      </c>
      <c r="X350" s="590">
        <f t="shared" si="180"/>
        <v>-146.62117434437181</v>
      </c>
      <c r="Y350" s="593">
        <f t="shared" si="181"/>
        <v>33.378825655628191</v>
      </c>
      <c r="AA350" s="150">
        <f t="shared" si="182"/>
        <v>1000000000</v>
      </c>
      <c r="AB350" s="150">
        <f t="shared" si="183"/>
        <v>732879648.0625</v>
      </c>
      <c r="AD350" s="592">
        <f t="shared" si="184"/>
        <v>27.534953084253463</v>
      </c>
      <c r="AE350" s="593">
        <f t="shared" si="185"/>
        <v>-10.552673681281307</v>
      </c>
      <c r="AG350" s="592">
        <f t="shared" si="186"/>
        <v>0.17001776657323459</v>
      </c>
      <c r="AH350" s="593">
        <f t="shared" si="187"/>
        <v>-97.78969096946831</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5">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1.1556179313973385</v>
      </c>
      <c r="N351" s="585">
        <f t="shared" si="174"/>
        <v>-0.52497213970631773</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1.6268175438978592</v>
      </c>
      <c r="X351" s="590">
        <f t="shared" si="180"/>
        <v>-146.907141617029</v>
      </c>
      <c r="Y351" s="593">
        <f t="shared" si="181"/>
        <v>33.092858382971002</v>
      </c>
      <c r="AA351" s="150">
        <f t="shared" si="182"/>
        <v>1000000000</v>
      </c>
      <c r="AB351" s="150">
        <f t="shared" si="183"/>
        <v>741391212.25</v>
      </c>
      <c r="AD351" s="592">
        <f t="shared" si="184"/>
        <v>27.533916803274856</v>
      </c>
      <c r="AE351" s="593">
        <f t="shared" si="185"/>
        <v>-10.580877933372987</v>
      </c>
      <c r="AG351" s="592">
        <f t="shared" si="186"/>
        <v>0.13609297181825017</v>
      </c>
      <c r="AH351" s="593">
        <f t="shared" si="187"/>
        <v>-97.833682523009614</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5">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1.1572926224547131</v>
      </c>
      <c r="N352" s="585">
        <f t="shared" si="174"/>
        <v>-0.5274652560088452</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1.5849610667872436</v>
      </c>
      <c r="X352" s="590">
        <f t="shared" si="180"/>
        <v>-147.19266311365982</v>
      </c>
      <c r="Y352" s="593">
        <f t="shared" si="181"/>
        <v>32.807336886340181</v>
      </c>
      <c r="AA352" s="150">
        <f t="shared" si="182"/>
        <v>1000000000</v>
      </c>
      <c r="AB352" s="150">
        <f t="shared" si="183"/>
        <v>749951917.5625</v>
      </c>
      <c r="AD352" s="592">
        <f t="shared" si="184"/>
        <v>27.532877464861699</v>
      </c>
      <c r="AE352" s="593">
        <f t="shared" si="185"/>
        <v>-10.6092568426269</v>
      </c>
      <c r="AG352" s="592">
        <f t="shared" si="186"/>
        <v>0.10250889835323951</v>
      </c>
      <c r="AH352" s="593">
        <f t="shared" si="187"/>
        <v>-97.877181973918312</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5">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1.1589744859992122</v>
      </c>
      <c r="N353" s="585">
        <f t="shared" si="174"/>
        <v>-0.5299511518778236</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1.5434025131491234</v>
      </c>
      <c r="X353" s="590">
        <f t="shared" si="180"/>
        <v>-147.47773784127625</v>
      </c>
      <c r="Y353" s="593">
        <f t="shared" si="181"/>
        <v>32.522262158723748</v>
      </c>
      <c r="AA353" s="150">
        <f t="shared" si="182"/>
        <v>1000000000</v>
      </c>
      <c r="AB353" s="150">
        <f t="shared" si="183"/>
        <v>758561764</v>
      </c>
      <c r="AD353" s="592">
        <f t="shared" si="184"/>
        <v>27.531835026060165</v>
      </c>
      <c r="AE353" s="593">
        <f t="shared" si="185"/>
        <v>-10.637807226555442</v>
      </c>
      <c r="AG353" s="592">
        <f t="shared" si="186"/>
        <v>6.9261828601645981E-2</v>
      </c>
      <c r="AH353" s="593">
        <f t="shared" si="187"/>
        <v>-97.920192034957537</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5">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1.1607039848741145</v>
      </c>
      <c r="N354" s="585">
        <f t="shared" si="174"/>
        <v>-0.53248903809940151</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1.5011546588757898</v>
      </c>
      <c r="X354" s="590">
        <f t="shared" si="180"/>
        <v>-147.76916861176264</v>
      </c>
      <c r="Y354" s="593">
        <f t="shared" si="181"/>
        <v>32.230831388237362</v>
      </c>
      <c r="AA354" s="150">
        <f t="shared" si="182"/>
        <v>1000000000</v>
      </c>
      <c r="AB354" s="150">
        <f t="shared" si="183"/>
        <v>767428506.25</v>
      </c>
      <c r="AD354" s="592">
        <f t="shared" si="184"/>
        <v>27.530764392520112</v>
      </c>
      <c r="AE354" s="593">
        <f t="shared" si="185"/>
        <v>-10.667215061540251</v>
      </c>
      <c r="AG354" s="592">
        <f t="shared" si="186"/>
        <v>3.5564744987281641E-2</v>
      </c>
      <c r="AH354" s="593">
        <f t="shared" si="187"/>
        <v>-97.963726748413677</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5">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1.162440937414706</v>
      </c>
      <c r="N355" s="585">
        <f t="shared" si="174"/>
        <v>-0.53501935621338326</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1.4592115421625622</v>
      </c>
      <c r="X355" s="590">
        <f t="shared" si="180"/>
        <v>-148.06012899453015</v>
      </c>
      <c r="Y355" s="593">
        <f t="shared" si="181"/>
        <v>31.939871005469854</v>
      </c>
      <c r="AA355" s="150">
        <f t="shared" si="182"/>
        <v>1000000000</v>
      </c>
      <c r="AB355" s="150">
        <f t="shared" si="183"/>
        <v>776346769</v>
      </c>
      <c r="AD355" s="592">
        <f t="shared" si="184"/>
        <v>27.529690421515205</v>
      </c>
      <c r="AE355" s="593">
        <f t="shared" si="185"/>
        <v>-10.696796145829181</v>
      </c>
      <c r="AG355" s="592">
        <f t="shared" si="186"/>
        <v>2.2132755338898189E-3</v>
      </c>
      <c r="AH355" s="593">
        <f t="shared" si="187"/>
        <v>-98.006754017735872</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5">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1.1641853102586084</v>
      </c>
      <c r="N356" s="585">
        <f t="shared" si="174"/>
        <v>-0.5375421077661664</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1.4175694045149005</v>
      </c>
      <c r="X356" s="590">
        <f t="shared" si="180"/>
        <v>-148.35061804442373</v>
      </c>
      <c r="Y356" s="593">
        <f t="shared" si="181"/>
        <v>31.649381955576274</v>
      </c>
      <c r="AA356" s="150">
        <f t="shared" si="182"/>
        <v>1000000000</v>
      </c>
      <c r="AB356" s="150">
        <f t="shared" si="183"/>
        <v>785316552.25</v>
      </c>
      <c r="AD356" s="592">
        <f t="shared" si="184"/>
        <v>27.528613071087147</v>
      </c>
      <c r="AE356" s="593">
        <f t="shared" si="185"/>
        <v>-10.726547286936469</v>
      </c>
      <c r="AG356" s="592">
        <f t="shared" si="186"/>
        <v>-3.079638920244774E-2</v>
      </c>
      <c r="AH356" s="593">
        <f t="shared" si="187"/>
        <v>-98.049276641565669</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5">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1.1659370701010006</v>
      </c>
      <c r="N357" s="585">
        <f t="shared" si="174"/>
        <v>-0.54005729468015751</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1.3762245475848169</v>
      </c>
      <c r="X357" s="590">
        <f t="shared" si="180"/>
        <v>-148.64063485557764</v>
      </c>
      <c r="Y357" s="593">
        <f t="shared" si="181"/>
        <v>31.359365144422355</v>
      </c>
      <c r="AA357" s="150">
        <f t="shared" si="182"/>
        <v>1000000000</v>
      </c>
      <c r="AB357" s="150">
        <f t="shared" si="183"/>
        <v>794337856</v>
      </c>
      <c r="AD357" s="592">
        <f t="shared" si="184"/>
        <v>27.527532300585804</v>
      </c>
      <c r="AE357" s="593">
        <f t="shared" si="185"/>
        <v>-10.756465363687292</v>
      </c>
      <c r="AG357" s="592">
        <f t="shared" si="186"/>
        <v>-6.34680000990024E-2</v>
      </c>
      <c r="AH357" s="593">
        <f t="shared" si="187"/>
        <v>-98.091297382999429</v>
      </c>
      <c r="AJ357" s="150">
        <f t="shared" si="188"/>
        <v>0</v>
      </c>
      <c r="AK357" s="150">
        <f t="shared" si="200"/>
        <v>0</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5">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1.1677346261092312</v>
      </c>
      <c r="N358" s="585">
        <f t="shared" si="174"/>
        <v>-0.54261951841664202</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1.3342813785327103</v>
      </c>
      <c r="X358" s="590">
        <f t="shared" si="180"/>
        <v>-148.93648732062348</v>
      </c>
      <c r="Y358" s="593">
        <f t="shared" si="181"/>
        <v>31.063512679376515</v>
      </c>
      <c r="AA358" s="150">
        <f t="shared" si="182"/>
        <v>1000000000</v>
      </c>
      <c r="AB358" s="150">
        <f t="shared" si="183"/>
        <v>803609104</v>
      </c>
      <c r="AD358" s="592">
        <f t="shared" si="184"/>
        <v>27.526424388150335</v>
      </c>
      <c r="AE358" s="593">
        <f t="shared" si="185"/>
        <v>-10.787205120449357</v>
      </c>
      <c r="AG358" s="592">
        <f t="shared" si="186"/>
        <v>-9.6506726651162111E-2</v>
      </c>
      <c r="AH358" s="593">
        <f t="shared" si="187"/>
        <v>-98.133718885200565</v>
      </c>
      <c r="AJ358" s="150">
        <f t="shared" si="188"/>
        <v>0</v>
      </c>
      <c r="AK358" s="150">
        <f t="shared" si="200"/>
        <v>0</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5">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1.1695398246894078</v>
      </c>
      <c r="N359" s="585">
        <f t="shared" si="174"/>
        <v>-0.54517384923384693</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1.2926409765844578</v>
      </c>
      <c r="X359" s="590">
        <f t="shared" si="180"/>
        <v>-149.23184493647287</v>
      </c>
      <c r="Y359" s="593">
        <f t="shared" si="181"/>
        <v>30.768155063527132</v>
      </c>
      <c r="AA359" s="150">
        <f t="shared" si="182"/>
        <v>1000000000</v>
      </c>
      <c r="AB359" s="150">
        <f t="shared" si="183"/>
        <v>812934144</v>
      </c>
      <c r="AD359" s="592">
        <f t="shared" si="184"/>
        <v>27.525312823035009</v>
      </c>
      <c r="AE359" s="593">
        <f t="shared" si="185"/>
        <v>-10.818112803469987</v>
      </c>
      <c r="AG359" s="592">
        <f t="shared" si="186"/>
        <v>-0.12920023105068379</v>
      </c>
      <c r="AH359" s="593">
        <f t="shared" si="187"/>
        <v>-98.175622102113223</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5">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1.1713526305070989</v>
      </c>
      <c r="N360" s="585">
        <f t="shared" si="174"/>
        <v>-0.54772029036873437</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1.2512995823874147</v>
      </c>
      <c r="X360" s="590">
        <f t="shared" si="180"/>
        <v>-149.52670685923744</v>
      </c>
      <c r="Y360" s="593">
        <f t="shared" si="181"/>
        <v>30.473293140762564</v>
      </c>
      <c r="AA360" s="150">
        <f t="shared" si="182"/>
        <v>1000000000</v>
      </c>
      <c r="AB360" s="150">
        <f t="shared" si="183"/>
        <v>822312976</v>
      </c>
      <c r="AD360" s="592">
        <f t="shared" si="184"/>
        <v>27.524197565827031</v>
      </c>
      <c r="AE360" s="593">
        <f t="shared" si="185"/>
        <v>-10.849185300811921</v>
      </c>
      <c r="AG360" s="592">
        <f t="shared" si="186"/>
        <v>-0.16155233350096476</v>
      </c>
      <c r="AH360" s="593">
        <f t="shared" si="187"/>
        <v>-98.217009874767271</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5">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1.1731730082978273</v>
      </c>
      <c r="N361" s="585">
        <f t="shared" si="174"/>
        <v>-0.55025884544757553</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1.2102534966554304</v>
      </c>
      <c r="X361" s="590">
        <f t="shared" si="180"/>
        <v>-149.82107228482388</v>
      </c>
      <c r="Y361" s="593">
        <f t="shared" si="181"/>
        <v>30.178927715176115</v>
      </c>
      <c r="AA361" s="150">
        <f t="shared" si="182"/>
        <v>1000000000</v>
      </c>
      <c r="AB361" s="150">
        <f t="shared" si="183"/>
        <v>831745600</v>
      </c>
      <c r="AD361" s="592">
        <f t="shared" si="184"/>
        <v>27.523078578358437</v>
      </c>
      <c r="AE361" s="593">
        <f t="shared" si="185"/>
        <v>-10.880419569867366</v>
      </c>
      <c r="AG361" s="592">
        <f t="shared" si="186"/>
        <v>-0.1935667956637912</v>
      </c>
      <c r="AH361" s="593">
        <f t="shared" si="187"/>
        <v>-98.257885010796258</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5">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1.1750456000085299</v>
      </c>
      <c r="N362" s="585">
        <f t="shared" si="174"/>
        <v>-0.55285114378255973</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1.1685086820451802</v>
      </c>
      <c r="X362" s="590">
        <f t="shared" si="180"/>
        <v>-150.12210174610308</v>
      </c>
      <c r="Y362" s="593">
        <f t="shared" si="181"/>
        <v>29.877898253896916</v>
      </c>
      <c r="AA362" s="150">
        <f t="shared" si="182"/>
        <v>1000000000</v>
      </c>
      <c r="AB362" s="150">
        <f t="shared" si="183"/>
        <v>841464064</v>
      </c>
      <c r="AD362" s="592">
        <f t="shared" si="184"/>
        <v>27.521928392037417</v>
      </c>
      <c r="AE362" s="593">
        <f t="shared" si="185"/>
        <v>-10.912580279048235</v>
      </c>
      <c r="AG362" s="592">
        <f t="shared" si="186"/>
        <v>-0.22601587682186605</v>
      </c>
      <c r="AH362" s="593">
        <f t="shared" si="187"/>
        <v>-98.299228458278847</v>
      </c>
      <c r="AJ362" s="150">
        <f t="shared" si="188"/>
        <v>0</v>
      </c>
      <c r="AK362" s="150">
        <f t="shared" si="200"/>
        <v>0</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5">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1.1769260628798306</v>
      </c>
      <c r="N363" s="585">
        <f t="shared" si="174"/>
        <v>-0.55543517561793987</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1.127066085973361</v>
      </c>
      <c r="X363" s="590">
        <f t="shared" si="180"/>
        <v>-150.42260861218389</v>
      </c>
      <c r="Y363" s="593">
        <f t="shared" si="181"/>
        <v>29.577391387816107</v>
      </c>
      <c r="AA363" s="150">
        <f t="shared" si="182"/>
        <v>1000000000</v>
      </c>
      <c r="AB363" s="150">
        <f t="shared" si="183"/>
        <v>851238976</v>
      </c>
      <c r="AD363" s="592">
        <f t="shared" si="184"/>
        <v>27.520774214018001</v>
      </c>
      <c r="AE363" s="593">
        <f t="shared" si="185"/>
        <v>-10.944904498594717</v>
      </c>
      <c r="AG363" s="592">
        <f t="shared" si="186"/>
        <v>-0.25811845468703942</v>
      </c>
      <c r="AH363" s="593">
        <f t="shared" si="187"/>
        <v>-98.340039819675155</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5">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1.178814359243139</v>
      </c>
      <c r="N364" s="585">
        <f t="shared" si="174"/>
        <v>-0.55801094608855317</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1.0859219195235892</v>
      </c>
      <c r="X364" s="590">
        <f t="shared" si="180"/>
        <v>-150.72259214386287</v>
      </c>
      <c r="Y364" s="593">
        <f t="shared" si="181"/>
        <v>29.277407856137131</v>
      </c>
      <c r="AA364" s="150">
        <f t="shared" si="182"/>
        <v>1000000000</v>
      </c>
      <c r="AB364" s="150">
        <f t="shared" si="183"/>
        <v>861070336</v>
      </c>
      <c r="AD364" s="592">
        <f t="shared" si="184"/>
        <v>27.51961600706835</v>
      </c>
      <c r="AE364" s="593">
        <f t="shared" si="185"/>
        <v>-10.977389171539752</v>
      </c>
      <c r="AG364" s="592">
        <f t="shared" si="186"/>
        <v>-0.28987838991221615</v>
      </c>
      <c r="AH364" s="593">
        <f t="shared" si="187"/>
        <v>-98.380322011898912</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5">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1.1807104515144207</v>
      </c>
      <c r="N365" s="585">
        <f t="shared" si="174"/>
        <v>-0.56057846073494166</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1.0450724544004071</v>
      </c>
      <c r="X365" s="590">
        <f t="shared" si="180"/>
        <v>-151.02205164261713</v>
      </c>
      <c r="Y365" s="593">
        <f t="shared" si="181"/>
        <v>28.977948357382871</v>
      </c>
      <c r="AA365" s="150">
        <f t="shared" si="182"/>
        <v>1000000000</v>
      </c>
      <c r="AB365" s="150">
        <f t="shared" si="183"/>
        <v>870958144</v>
      </c>
      <c r="AD365" s="592">
        <f t="shared" si="184"/>
        <v>27.518453735153535</v>
      </c>
      <c r="AE365" s="593">
        <f t="shared" si="185"/>
        <v>-11.010031309004837</v>
      </c>
      <c r="AG365" s="592">
        <f t="shared" si="186"/>
        <v>-0.32129948401655972</v>
      </c>
      <c r="AH365" s="593">
        <f t="shared" si="187"/>
        <v>-98.42007792018363</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5">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1.1826597262274929</v>
      </c>
      <c r="N366" s="585">
        <f t="shared" si="174"/>
        <v>-0.56319855987287037</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1.0035518620162316</v>
      </c>
      <c r="X366" s="590">
        <f t="shared" si="180"/>
        <v>-151.32809754503947</v>
      </c>
      <c r="Y366" s="593">
        <f t="shared" si="181"/>
        <v>28.671902454960531</v>
      </c>
      <c r="AA366" s="150">
        <f t="shared" si="182"/>
        <v>1000000000</v>
      </c>
      <c r="AB366" s="150">
        <f t="shared" si="183"/>
        <v>881139856</v>
      </c>
      <c r="AD366" s="592">
        <f t="shared" si="184"/>
        <v>27.517259542390072</v>
      </c>
      <c r="AE366" s="593">
        <f t="shared" si="185"/>
        <v>-11.043610721558505</v>
      </c>
      <c r="AG366" s="592">
        <f t="shared" si="186"/>
        <v>-0.35312156960781727</v>
      </c>
      <c r="AH366" s="593">
        <f t="shared" si="187"/>
        <v>-98.460238149506907</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5">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1.1846170930529156</v>
      </c>
      <c r="N367" s="585">
        <f t="shared" si="174"/>
        <v>-0.56581001840321876</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0.96233245159015568</v>
      </c>
      <c r="X367" s="590">
        <f t="shared" si="180"/>
        <v>-151.63359280912567</v>
      </c>
      <c r="Y367" s="593">
        <f t="shared" si="181"/>
        <v>28.366407190874327</v>
      </c>
      <c r="AA367" s="150">
        <f t="shared" si="182"/>
        <v>1000000000</v>
      </c>
      <c r="AB367" s="150">
        <f t="shared" si="183"/>
        <v>891380736</v>
      </c>
      <c r="AD367" s="592">
        <f t="shared" si="184"/>
        <v>27.51606101601919</v>
      </c>
      <c r="AE367" s="593">
        <f t="shared" si="185"/>
        <v>-11.077349056281593</v>
      </c>
      <c r="AG367" s="592">
        <f t="shared" si="186"/>
        <v>-0.38459636644699668</v>
      </c>
      <c r="AH367" s="593">
        <f t="shared" si="187"/>
        <v>-98.499852759130604</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5">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1.1865825119448465</v>
      </c>
      <c r="N368" s="585">
        <f t="shared" si="174"/>
        <v>-0.56841284355553123</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0.92141041122166578</v>
      </c>
      <c r="X368" s="590">
        <f t="shared" si="180"/>
        <v>-151.93853681289002</v>
      </c>
      <c r="Y368" s="593">
        <f t="shared" si="181"/>
        <v>28.061463187109979</v>
      </c>
      <c r="AA368" s="150">
        <f t="shared" si="182"/>
        <v>1000000000</v>
      </c>
      <c r="AB368" s="150">
        <f t="shared" si="183"/>
        <v>901680784</v>
      </c>
      <c r="AD368" s="592">
        <f t="shared" si="184"/>
        <v>27.514858121014566</v>
      </c>
      <c r="AE368" s="593">
        <f t="shared" si="185"/>
        <v>-11.111243315172883</v>
      </c>
      <c r="AG368" s="592">
        <f t="shared" si="186"/>
        <v>-0.41572776957398072</v>
      </c>
      <c r="AH368" s="593">
        <f t="shared" si="187"/>
        <v>-98.538924749512418</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5">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1.1885559429581321</v>
      </c>
      <c r="N369" s="585">
        <f t="shared" si="174"/>
        <v>-0.57100704297953675</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0.88078199007287661</v>
      </c>
      <c r="X369" s="590">
        <f t="shared" si="180"/>
        <v>-152.24292897578769</v>
      </c>
      <c r="Y369" s="593">
        <f t="shared" si="181"/>
        <v>27.757071024212308</v>
      </c>
      <c r="AA369" s="150">
        <f t="shared" si="182"/>
        <v>1000000000</v>
      </c>
      <c r="AB369" s="150">
        <f t="shared" si="183"/>
        <v>912040000</v>
      </c>
      <c r="AD369" s="592">
        <f t="shared" si="184"/>
        <v>27.513650823498253</v>
      </c>
      <c r="AE369" s="593">
        <f t="shared" si="185"/>
        <v>-11.145290566943475</v>
      </c>
      <c r="AG369" s="592">
        <f t="shared" si="186"/>
        <v>-0.44651961441311366</v>
      </c>
      <c r="AH369" s="593">
        <f t="shared" si="187"/>
        <v>-98.577457091125652</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5">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1.1905806339532348</v>
      </c>
      <c r="N370" s="585">
        <f t="shared" si="174"/>
        <v>-0.57364890050619322</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0.83956722619191648</v>
      </c>
      <c r="X370" s="590">
        <f t="shared" si="180"/>
        <v>-152.55338701508353</v>
      </c>
      <c r="Y370" s="593">
        <f t="shared" si="181"/>
        <v>27.44661298491647</v>
      </c>
      <c r="AA370" s="150">
        <f t="shared" si="182"/>
        <v>1000000000</v>
      </c>
      <c r="AB370" s="150">
        <f t="shared" si="183"/>
        <v>922686188.0625</v>
      </c>
      <c r="AD370" s="592">
        <f t="shared" si="184"/>
        <v>27.512412622465927</v>
      </c>
      <c r="AE370" s="593">
        <f t="shared" si="185"/>
        <v>-11.18023517858648</v>
      </c>
      <c r="AG370" s="592">
        <f t="shared" si="186"/>
        <v>-0.47763597886697096</v>
      </c>
      <c r="AH370" s="593">
        <f t="shared" si="187"/>
        <v>-98.616275162374691</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5">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1.1926136062522481</v>
      </c>
      <c r="N371" s="585">
        <f t="shared" si="174"/>
        <v>-0.5762817695448178</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0.79865129596688167</v>
      </c>
      <c r="X371" s="590">
        <f t="shared" si="180"/>
        <v>-152.86326779187647</v>
      </c>
      <c r="Y371" s="593">
        <f t="shared" si="181"/>
        <v>27.136732208123533</v>
      </c>
      <c r="AA371" s="150">
        <f t="shared" si="182"/>
        <v>1000000000</v>
      </c>
      <c r="AB371" s="150">
        <f t="shared" si="183"/>
        <v>933394152.25</v>
      </c>
      <c r="AD371" s="592">
        <f t="shared" si="184"/>
        <v>27.511169756850702</v>
      </c>
      <c r="AE371" s="593">
        <f t="shared" si="185"/>
        <v>-11.215333544352314</v>
      </c>
      <c r="AG371" s="592">
        <f t="shared" si="186"/>
        <v>-0.50840572859567879</v>
      </c>
      <c r="AH371" s="593">
        <f t="shared" si="187"/>
        <v>-98.654535976464985</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5">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1.1946548175777021</v>
      </c>
      <c r="N372" s="585">
        <f t="shared" si="174"/>
        <v>-0.57890565957425566</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0.75803038704735026</v>
      </c>
      <c r="X372" s="590">
        <f t="shared" si="180"/>
        <v>-153.17257081585123</v>
      </c>
      <c r="Y372" s="593">
        <f t="shared" si="181"/>
        <v>26.82742918414877</v>
      </c>
      <c r="AA372" s="150">
        <f t="shared" si="182"/>
        <v>1000000000</v>
      </c>
      <c r="AB372" s="150">
        <f t="shared" si="183"/>
        <v>944163892.5625</v>
      </c>
      <c r="AD372" s="592">
        <f t="shared" si="184"/>
        <v>27.509922193983257</v>
      </c>
      <c r="AE372" s="593">
        <f t="shared" si="185"/>
        <v>-11.250582740870088</v>
      </c>
      <c r="AG372" s="592">
        <f t="shared" si="186"/>
        <v>-0.53883277059663648</v>
      </c>
      <c r="AH372" s="593">
        <f t="shared" si="187"/>
        <v>-98.692242612334852</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5">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1.1967042257698215</v>
      </c>
      <c r="N373" s="585">
        <f t="shared" si="174"/>
        <v>-0.58152058050335831</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0.71770074813700391</v>
      </c>
      <c r="X373" s="590">
        <f t="shared" si="180"/>
        <v>-153.48129563851847</v>
      </c>
      <c r="Y373" s="593">
        <f t="shared" si="181"/>
        <v>26.518704361481525</v>
      </c>
      <c r="AA373" s="150">
        <f t="shared" si="182"/>
        <v>1000000000</v>
      </c>
      <c r="AB373" s="150">
        <f t="shared" si="183"/>
        <v>954995409</v>
      </c>
      <c r="AD373" s="592">
        <f t="shared" si="184"/>
        <v>27.508669902287831</v>
      </c>
      <c r="AE373" s="593">
        <f t="shared" si="185"/>
        <v>-11.285979909625937</v>
      </c>
      <c r="AG373" s="592">
        <f t="shared" si="186"/>
        <v>-0.56892095220972516</v>
      </c>
      <c r="AH373" s="593">
        <f t="shared" si="187"/>
        <v>-98.729398120739219</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5">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1.1988116455695597</v>
      </c>
      <c r="N374" s="585">
        <f t="shared" si="174"/>
        <v>-0.58418944938985196</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0.67669391824913949</v>
      </c>
      <c r="X374" s="590">
        <f t="shared" si="180"/>
        <v>-153.79688629951579</v>
      </c>
      <c r="Y374" s="593">
        <f t="shared" si="181"/>
        <v>26.203113700484209</v>
      </c>
      <c r="AA374" s="150">
        <f t="shared" si="182"/>
        <v>1000000000</v>
      </c>
      <c r="AB374" s="150">
        <f t="shared" si="183"/>
        <v>966152889</v>
      </c>
      <c r="AD374" s="592">
        <f t="shared" si="184"/>
        <v>27.507382393955734</v>
      </c>
      <c r="AE374" s="593">
        <f t="shared" si="185"/>
        <v>-11.322383517686143</v>
      </c>
      <c r="AG374" s="592">
        <f t="shared" si="186"/>
        <v>-0.59938943633082287</v>
      </c>
      <c r="AH374" s="593">
        <f t="shared" si="187"/>
        <v>-98.766884006025819</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5">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1.2009275743339451</v>
      </c>
      <c r="N375" s="585">
        <f t="shared" si="174"/>
        <v>-0.58684893253948578</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0.63598484145449596</v>
      </c>
      <c r="X375" s="590">
        <f t="shared" si="180"/>
        <v>-154.11186963561394</v>
      </c>
      <c r="Y375" s="593">
        <f t="shared" si="181"/>
        <v>25.888130364386058</v>
      </c>
      <c r="AA375" s="150">
        <f t="shared" si="182"/>
        <v>1000000000</v>
      </c>
      <c r="AB375" s="150">
        <f t="shared" si="183"/>
        <v>977375169</v>
      </c>
      <c r="AD375" s="592">
        <f t="shared" si="184"/>
        <v>27.50608986164201</v>
      </c>
      <c r="AE375" s="593">
        <f t="shared" si="185"/>
        <v>-11.358936472385674</v>
      </c>
      <c r="AG375" s="592">
        <f t="shared" si="186"/>
        <v>-0.62951045571984987</v>
      </c>
      <c r="AH375" s="593">
        <f t="shared" si="187"/>
        <v>-98.803798178032778</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5">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1.203051967166257</v>
      </c>
      <c r="N376" s="585">
        <f t="shared" si="174"/>
        <v>-0.58949904195416059</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0.59556967845228559</v>
      </c>
      <c r="X376" s="590">
        <f t="shared" si="180"/>
        <v>-154.42624529618942</v>
      </c>
      <c r="Y376" s="593">
        <f t="shared" si="181"/>
        <v>25.573754703810579</v>
      </c>
      <c r="AA376" s="150">
        <f t="shared" si="182"/>
        <v>1000000000</v>
      </c>
      <c r="AB376" s="150">
        <f t="shared" si="183"/>
        <v>988662249</v>
      </c>
      <c r="AD376" s="592">
        <f t="shared" si="184"/>
        <v>27.504792274759513</v>
      </c>
      <c r="AE376" s="593">
        <f t="shared" si="185"/>
        <v>-11.395635902596089</v>
      </c>
      <c r="AG376" s="592">
        <f t="shared" si="186"/>
        <v>-0.65928795714582789</v>
      </c>
      <c r="AH376" s="593">
        <f t="shared" si="187"/>
        <v>-98.840143828783511</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5">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1.2051847793073716</v>
      </c>
      <c r="N377" s="585">
        <f t="shared" si="174"/>
        <v>-0.59213979007798112</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0.55544465158505374</v>
      </c>
      <c r="X377" s="590">
        <f t="shared" si="180"/>
        <v>-154.74001297315567</v>
      </c>
      <c r="Y377" s="593">
        <f t="shared" si="181"/>
        <v>25.259987026844328</v>
      </c>
      <c r="AA377" s="150">
        <f t="shared" si="182"/>
        <v>1000000000</v>
      </c>
      <c r="AB377" s="150">
        <f t="shared" si="183"/>
        <v>1000014129</v>
      </c>
      <c r="AD377" s="592">
        <f t="shared" si="184"/>
        <v>27.503489603772621</v>
      </c>
      <c r="AE377" s="593">
        <f t="shared" si="185"/>
        <v>-11.432479000834451</v>
      </c>
      <c r="AG377" s="592">
        <f t="shared" si="186"/>
        <v>-0.68872582709483487</v>
      </c>
      <c r="AH377" s="593">
        <f t="shared" si="187"/>
        <v>-98.875924123511908</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5">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1.2073736428463713</v>
      </c>
      <c r="N378" s="585">
        <f t="shared" si="174"/>
        <v>-0.59482955926027004</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0.51472396616824068</v>
      </c>
      <c r="X378" s="590">
        <f t="shared" si="180"/>
        <v>-155.06012458818026</v>
      </c>
      <c r="Y378" s="593">
        <f t="shared" si="181"/>
        <v>24.939875411819742</v>
      </c>
      <c r="AA378" s="150">
        <f t="shared" si="182"/>
        <v>1000000000</v>
      </c>
      <c r="AB378" s="150">
        <f t="shared" si="183"/>
        <v>1011685249</v>
      </c>
      <c r="AD378" s="592">
        <f t="shared" si="184"/>
        <v>27.502152700022581</v>
      </c>
      <c r="AE378" s="593">
        <f t="shared" si="185"/>
        <v>-11.470286468526837</v>
      </c>
      <c r="AG378" s="592">
        <f t="shared" si="186"/>
        <v>-0.71847082050692346</v>
      </c>
      <c r="AH378" s="593">
        <f t="shared" si="187"/>
        <v>-98.91191846378814</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5">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1.2095712099110563</v>
      </c>
      <c r="N379" s="585">
        <f t="shared" si="174"/>
        <v>-0.59750957414776396</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0.4742986640627595</v>
      </c>
      <c r="X379" s="590">
        <f t="shared" si="180"/>
        <v>-155.37960037925211</v>
      </c>
      <c r="Y379" s="593">
        <f t="shared" si="181"/>
        <v>24.620399620747889</v>
      </c>
      <c r="AA379" s="150">
        <f t="shared" si="182"/>
        <v>1000000000</v>
      </c>
      <c r="AB379" s="150">
        <f t="shared" si="183"/>
        <v>1023424081</v>
      </c>
      <c r="AD379" s="592">
        <f t="shared" si="184"/>
        <v>27.500810424499864</v>
      </c>
      <c r="AE379" s="593">
        <f t="shared" si="185"/>
        <v>-11.508238323811598</v>
      </c>
      <c r="AG379" s="592">
        <f t="shared" si="186"/>
        <v>-0.74786894516985813</v>
      </c>
      <c r="AH379" s="593">
        <f t="shared" si="187"/>
        <v>-98.947328648742769</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5">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1.211777433149708</v>
      </c>
      <c r="N380" s="585">
        <f t="shared" si="174"/>
        <v>-0.60017984941529612</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0.4341649014904389</v>
      </c>
      <c r="X380" s="590">
        <f t="shared" si="180"/>
        <v>-155.69844014968891</v>
      </c>
      <c r="Y380" s="593">
        <f t="shared" si="181"/>
        <v>24.301559850311094</v>
      </c>
      <c r="AA380" s="150">
        <f t="shared" si="182"/>
        <v>1000000000</v>
      </c>
      <c r="AB380" s="150">
        <f t="shared" si="183"/>
        <v>1035230625</v>
      </c>
      <c r="AD380" s="592">
        <f t="shared" si="184"/>
        <v>27.499462748841704</v>
      </c>
      <c r="AE380" s="593">
        <f t="shared" si="185"/>
        <v>-11.546331762621069</v>
      </c>
      <c r="AG380" s="592">
        <f t="shared" si="186"/>
        <v>-0.77692416525292807</v>
      </c>
      <c r="AH380" s="593">
        <f t="shared" si="187"/>
        <v>-98.982157978559172</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5">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1.2139922653689823</v>
      </c>
      <c r="N381" s="585">
        <f t="shared" si="174"/>
        <v>-0.6028404001868094</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0.39431889646127749</v>
      </c>
      <c r="X381" s="590">
        <f t="shared" si="180"/>
        <v>-156.01664374565166</v>
      </c>
      <c r="Y381" s="593">
        <f t="shared" si="181"/>
        <v>23.983356254348337</v>
      </c>
      <c r="AA381" s="150">
        <f t="shared" si="182"/>
        <v>1000000000</v>
      </c>
      <c r="AB381" s="150">
        <f t="shared" si="183"/>
        <v>1047104881</v>
      </c>
      <c r="AD381" s="592">
        <f t="shared" si="184"/>
        <v>27.498109645689063</v>
      </c>
      <c r="AE381" s="593">
        <f t="shared" si="185"/>
        <v>-11.584564042868967</v>
      </c>
      <c r="AG381" s="592">
        <f t="shared" si="186"/>
        <v>-0.8056403844503085</v>
      </c>
      <c r="AH381" s="593">
        <f t="shared" si="187"/>
        <v>-99.016409728071821</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5">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1.2162701428852993</v>
      </c>
      <c r="N382" s="585">
        <f t="shared" si="174"/>
        <v>-0.60555595090551129</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0.35379290644977179</v>
      </c>
      <c r="X382" s="590">
        <f t="shared" si="180"/>
        <v>-156.34196967544284</v>
      </c>
      <c r="Y382" s="593">
        <f t="shared" si="181"/>
        <v>23.65803032455716</v>
      </c>
      <c r="AA382" s="150">
        <f t="shared" si="182"/>
        <v>1000000000</v>
      </c>
      <c r="AB382" s="150">
        <f t="shared" si="183"/>
        <v>1059339756.25</v>
      </c>
      <c r="AD382" s="592">
        <f t="shared" si="184"/>
        <v>27.496717794534405</v>
      </c>
      <c r="AE382" s="593">
        <f t="shared" si="185"/>
        <v>-11.623872524711722</v>
      </c>
      <c r="AG382" s="592">
        <f t="shared" si="186"/>
        <v>-0.83471138283557578</v>
      </c>
      <c r="AH382" s="593">
        <f t="shared" si="187"/>
        <v>-99.050903612692395</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5">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1.2185569558694345</v>
      </c>
      <c r="N383" s="585">
        <f t="shared" si="174"/>
        <v>-0.60826132919952025</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0.31356107885253803</v>
      </c>
      <c r="X383" s="590">
        <f t="shared" si="180"/>
        <v>-156.66662774026861</v>
      </c>
      <c r="Y383" s="593">
        <f t="shared" si="181"/>
        <v>23.333372259731391</v>
      </c>
      <c r="AA383" s="150">
        <f t="shared" si="182"/>
        <v>1000000000</v>
      </c>
      <c r="AB383" s="150">
        <f t="shared" si="183"/>
        <v>1071645696</v>
      </c>
      <c r="AD383" s="592">
        <f t="shared" si="184"/>
        <v>27.495320192122392</v>
      </c>
      <c r="AE383" s="593">
        <f t="shared" si="185"/>
        <v>-11.663321088062919</v>
      </c>
      <c r="AG383" s="592">
        <f t="shared" si="186"/>
        <v>-0.86343470098330666</v>
      </c>
      <c r="AH383" s="593">
        <f t="shared" si="187"/>
        <v>-99.084798200512566</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5">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1.2208526541095708</v>
      </c>
      <c r="N384" s="585">
        <f t="shared" si="174"/>
        <v>-0.6109565527410844</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0.27361954067893041</v>
      </c>
      <c r="X384" s="590">
        <f t="shared" si="180"/>
        <v>-156.99061790895445</v>
      </c>
      <c r="Y384" s="593">
        <f t="shared" si="181"/>
        <v>23.009382091045552</v>
      </c>
      <c r="AA384" s="150">
        <f t="shared" si="182"/>
        <v>1000000000</v>
      </c>
      <c r="AB384" s="150">
        <f t="shared" si="183"/>
        <v>1084022700.25</v>
      </c>
      <c r="AD384" s="592">
        <f t="shared" si="184"/>
        <v>27.493916812102409</v>
      </c>
      <c r="AE384" s="593">
        <f t="shared" si="185"/>
        <v>-11.702906975829498</v>
      </c>
      <c r="AG384" s="592">
        <f t="shared" si="186"/>
        <v>-0.8918143467670856</v>
      </c>
      <c r="AH384" s="593">
        <f t="shared" si="187"/>
        <v>-99.118096935371582</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5">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1.2231571875764893</v>
      </c>
      <c r="N385" s="585">
        <f t="shared" si="174"/>
        <v>-0.6136416396601666</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0.23396448143924936</v>
      </c>
      <c r="X385" s="590">
        <f t="shared" si="180"/>
        <v>-157.31394019375489</v>
      </c>
      <c r="Y385" s="593">
        <f t="shared" si="181"/>
        <v>22.686059806245112</v>
      </c>
      <c r="AA385" s="150">
        <f t="shared" si="182"/>
        <v>1000000000</v>
      </c>
      <c r="AB385" s="150">
        <f t="shared" si="183"/>
        <v>1096470769</v>
      </c>
      <c r="AD385" s="592">
        <f t="shared" si="184"/>
        <v>27.49250762909076</v>
      </c>
      <c r="AE385" s="593">
        <f t="shared" si="185"/>
        <v>-11.742627491809641</v>
      </c>
      <c r="AG385" s="592">
        <f t="shared" si="186"/>
        <v>-0.91985426683639904</v>
      </c>
      <c r="AH385" s="593">
        <f t="shared" si="187"/>
        <v>-99.150803236802716</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5">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1.225522764367913</v>
      </c>
      <c r="N386" s="585">
        <f t="shared" si="174"/>
        <v>-0.61637680301703945</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0.19370767713754847</v>
      </c>
      <c r="X386" s="590">
        <f t="shared" si="180"/>
        <v>-157.64386165437801</v>
      </c>
      <c r="Y386" s="593">
        <f t="shared" si="181"/>
        <v>22.356138345621986</v>
      </c>
      <c r="AA386" s="150">
        <f t="shared" si="182"/>
        <v>1000000000</v>
      </c>
      <c r="AB386" s="150">
        <f t="shared" si="183"/>
        <v>1109272983.0625</v>
      </c>
      <c r="AD386" s="592">
        <f t="shared" si="184"/>
        <v>27.491060647860508</v>
      </c>
      <c r="AE386" s="593">
        <f t="shared" si="185"/>
        <v>-11.78338003166755</v>
      </c>
      <c r="AG386" s="592">
        <f t="shared" si="186"/>
        <v>-0.94817913422478139</v>
      </c>
      <c r="AH386" s="593">
        <f t="shared" si="187"/>
        <v>-99.183637866334976</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5">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1.2278974740746793</v>
      </c>
      <c r="N387" s="585">
        <f t="shared" si="174"/>
        <v>-0.61910140727565732</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0.15374255162203118</v>
      </c>
      <c r="X387" s="590">
        <f t="shared" si="180"/>
        <v>-157.97308493582653</v>
      </c>
      <c r="Y387" s="593">
        <f t="shared" si="181"/>
        <v>22.026915064173465</v>
      </c>
      <c r="AA387" s="150">
        <f t="shared" si="182"/>
        <v>1000000000</v>
      </c>
      <c r="AB387" s="150">
        <f t="shared" si="183"/>
        <v>1122149502.25</v>
      </c>
      <c r="AD387" s="592">
        <f t="shared" si="184"/>
        <v>27.489607548293655</v>
      </c>
      <c r="AE387" s="593">
        <f t="shared" si="185"/>
        <v>-11.8242678246339</v>
      </c>
      <c r="AG387" s="592">
        <f t="shared" si="186"/>
        <v>-0.97615693979499829</v>
      </c>
      <c r="AH387" s="593">
        <f t="shared" si="187"/>
        <v>-99.215860203966415</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5">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1.2302812638112661</v>
      </c>
      <c r="N388" s="585">
        <f t="shared" si="174"/>
        <v>-0.62181547324508424</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0.11406522512202744</v>
      </c>
      <c r="X388" s="590">
        <f t="shared" si="180"/>
        <v>-158.30161018620112</v>
      </c>
      <c r="Y388" s="593">
        <f t="shared" si="181"/>
        <v>21.698389813798883</v>
      </c>
      <c r="AA388" s="150">
        <f t="shared" si="182"/>
        <v>1000000000</v>
      </c>
      <c r="AB388" s="150">
        <f t="shared" si="183"/>
        <v>1135100326.5625</v>
      </c>
      <c r="AD388" s="592">
        <f t="shared" si="184"/>
        <v>27.488148306184709</v>
      </c>
      <c r="AE388" s="593">
        <f t="shared" si="185"/>
        <v>-11.865288174546645</v>
      </c>
      <c r="AG388" s="592">
        <f t="shared" si="186"/>
        <v>-1.0037917127844378</v>
      </c>
      <c r="AH388" s="593">
        <f t="shared" si="187"/>
        <v>-99.247473832036817</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5">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1.232674080899804</v>
      </c>
      <c r="N389" s="585">
        <f t="shared" si="174"/>
        <v>-0.62451902219473998</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7.467188064120707E-2</v>
      </c>
      <c r="X389" s="590">
        <f t="shared" si="180"/>
        <v>-158.62943759717984</v>
      </c>
      <c r="Y389" s="593">
        <f t="shared" si="181"/>
        <v>21.370562402820156</v>
      </c>
      <c r="AA389" s="150">
        <f t="shared" si="182"/>
        <v>1000000000</v>
      </c>
      <c r="AB389" s="150">
        <f t="shared" si="183"/>
        <v>1148125456</v>
      </c>
      <c r="AD389" s="592">
        <f t="shared" si="184"/>
        <v>27.486682898253076</v>
      </c>
      <c r="AE389" s="593">
        <f t="shared" si="185"/>
        <v>-11.906438444619454</v>
      </c>
      <c r="AG389" s="592">
        <f t="shared" si="186"/>
        <v>-1.0310874208857506</v>
      </c>
      <c r="AH389" s="593">
        <f t="shared" si="187"/>
        <v>-99.278482309611675</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5">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1.2351351738659058</v>
      </c>
      <c r="N390" s="585">
        <f t="shared" si="174"/>
        <v>-0.62727830930987527</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3.4598391886321966E-2</v>
      </c>
      <c r="X390" s="590">
        <f t="shared" si="180"/>
        <v>-158.96462016247122</v>
      </c>
      <c r="Y390" s="593">
        <f t="shared" si="181"/>
        <v>21.035379837528779</v>
      </c>
      <c r="AA390" s="150">
        <f t="shared" si="182"/>
        <v>1000000000</v>
      </c>
      <c r="AB390" s="150">
        <f t="shared" si="183"/>
        <v>1161548642.25</v>
      </c>
      <c r="AD390" s="592">
        <f t="shared" si="184"/>
        <v>27.485174958784601</v>
      </c>
      <c r="AE390" s="593">
        <f t="shared" si="185"/>
        <v>-11.948734859277163</v>
      </c>
      <c r="AG390" s="592">
        <f t="shared" si="186"/>
        <v>-1.0587081704493766</v>
      </c>
      <c r="AH390" s="593">
        <f t="shared" si="187"/>
        <v>-99.309630933723724</v>
      </c>
      <c r="AJ390" s="150">
        <f t="shared" si="188"/>
        <v>34081.5</v>
      </c>
      <c r="AK390" s="150">
        <f t="shared" si="200"/>
        <v>21.035379837528779</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5">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1.2376056332951864</v>
      </c>
      <c r="N391" s="585">
        <f t="shared" si="174"/>
        <v>-0.63002660132047583</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-5.184863059645258E-3</v>
      </c>
      <c r="X391" s="590">
        <f t="shared" si="180"/>
        <v>-159.29907061407999</v>
      </c>
      <c r="Y391" s="593">
        <f t="shared" si="181"/>
        <v>20.700929385920006</v>
      </c>
      <c r="AA391" s="150">
        <f t="shared" si="182"/>
        <v>34279</v>
      </c>
      <c r="AB391" s="150">
        <f t="shared" si="183"/>
        <v>1175049841</v>
      </c>
      <c r="AD391" s="592">
        <f t="shared" si="184"/>
        <v>27.483660499217667</v>
      </c>
      <c r="AE391" s="593">
        <f t="shared" si="185"/>
        <v>-11.991162255388414</v>
      </c>
      <c r="AG391" s="592">
        <f t="shared" si="186"/>
        <v>-1.0859811791542469</v>
      </c>
      <c r="AH391" s="593">
        <f t="shared" si="187"/>
        <v>-99.340151707561574</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5">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1.2400854032089206</v>
      </c>
      <c r="N392" s="585">
        <f t="shared" si="174"/>
        <v>-0.6327639225465107</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-4.4681793791111021E-2</v>
      </c>
      <c r="X392" s="590">
        <f t="shared" si="180"/>
        <v>-159.6327892944407</v>
      </c>
      <c r="Y392" s="593">
        <f t="shared" si="181"/>
        <v>20.367210705559302</v>
      </c>
      <c r="AA392" s="150">
        <f t="shared" si="182"/>
        <v>34476.5</v>
      </c>
      <c r="AB392" s="150">
        <f t="shared" si="183"/>
        <v>1188629052.25</v>
      </c>
      <c r="AD392" s="592">
        <f t="shared" si="184"/>
        <v>27.482139497335375</v>
      </c>
      <c r="AE392" s="593">
        <f t="shared" si="185"/>
        <v>-12.033717979606976</v>
      </c>
      <c r="AG392" s="592">
        <f t="shared" si="186"/>
        <v>-1.1129105224746181</v>
      </c>
      <c r="AH392" s="593">
        <f t="shared" si="187"/>
        <v>-99.37004838846012</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5">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1.2425744278651143</v>
      </c>
      <c r="N393" s="585">
        <f t="shared" si="174"/>
        <v>-0.63549029777180177</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-8.3896246313727732E-2</v>
      </c>
      <c r="X393" s="590">
        <f t="shared" si="180"/>
        <v>-159.96577658993769</v>
      </c>
      <c r="Y393" s="593">
        <f t="shared" si="181"/>
        <v>20.03422341006231</v>
      </c>
      <c r="AA393" s="150">
        <f t="shared" si="182"/>
        <v>34674</v>
      </c>
      <c r="AB393" s="150">
        <f t="shared" si="183"/>
        <v>1202286276</v>
      </c>
      <c r="AD393" s="592">
        <f t="shared" si="184"/>
        <v>27.480611931813272</v>
      </c>
      <c r="AE393" s="593">
        <f t="shared" si="185"/>
        <v>-12.076399436960759</v>
      </c>
      <c r="AG393" s="592">
        <f t="shared" si="186"/>
        <v>-1.1395002134860945</v>
      </c>
      <c r="AH393" s="593">
        <f t="shared" si="187"/>
        <v>-99.399324711106004</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5">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1.2451265117080395</v>
      </c>
      <c r="N394" s="585">
        <f t="shared" si="174"/>
        <v>-0.63826406622243193</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-0.12366682699413381</v>
      </c>
      <c r="X394" s="590">
        <f t="shared" si="180"/>
        <v>-160.30517471935809</v>
      </c>
      <c r="Y394" s="593">
        <f t="shared" si="181"/>
        <v>19.694825280641908</v>
      </c>
      <c r="AA394" s="150">
        <f t="shared" si="182"/>
        <v>34875.75</v>
      </c>
      <c r="AB394" s="150">
        <f t="shared" si="183"/>
        <v>1216317938.0625</v>
      </c>
      <c r="AD394" s="592">
        <f t="shared" si="184"/>
        <v>27.479044696331094</v>
      </c>
      <c r="AE394" s="593">
        <f t="shared" si="185"/>
        <v>-12.120126537529956</v>
      </c>
      <c r="AG394" s="592">
        <f t="shared" si="186"/>
        <v>-1.1663155026835053</v>
      </c>
      <c r="AH394" s="593">
        <f t="shared" si="187"/>
        <v>-99.42859436523598</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5">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1.2476881360619658</v>
      </c>
      <c r="N395" s="585">
        <f t="shared" si="174"/>
        <v>-0.64102646622432402</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-0.16315055708981982</v>
      </c>
      <c r="X395" s="590">
        <f t="shared" si="180"/>
        <v>-160.64381059900143</v>
      </c>
      <c r="Y395" s="593">
        <f t="shared" si="181"/>
        <v>19.356189400998574</v>
      </c>
      <c r="AA395" s="150">
        <f t="shared" si="182"/>
        <v>35077.5</v>
      </c>
      <c r="AB395" s="150">
        <f t="shared" si="183"/>
        <v>1230431006.25</v>
      </c>
      <c r="AD395" s="592">
        <f t="shared" si="184"/>
        <v>27.47747056942513</v>
      </c>
      <c r="AE395" s="593">
        <f t="shared" si="185"/>
        <v>-12.16397954605509</v>
      </c>
      <c r="AG395" s="592">
        <f t="shared" si="186"/>
        <v>-1.192784636122677</v>
      </c>
      <c r="AH395" s="593">
        <f t="shared" si="187"/>
        <v>-99.457224483572929</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5">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1.2502592422849639</v>
      </c>
      <c r="N396" s="585">
        <f t="shared" si="174"/>
        <v>-0.6437775256255478</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-0.20235133920745302</v>
      </c>
      <c r="X396" s="590">
        <f t="shared" si="180"/>
        <v>-160.98168477644705</v>
      </c>
      <c r="Y396" s="593">
        <f t="shared" si="181"/>
        <v>19.018315223552946</v>
      </c>
      <c r="AA396" s="150">
        <f t="shared" si="182"/>
        <v>35279.25</v>
      </c>
      <c r="AB396" s="150">
        <f t="shared" si="183"/>
        <v>1244625480.5625</v>
      </c>
      <c r="AD396" s="592">
        <f t="shared" si="184"/>
        <v>27.4758895310644</v>
      </c>
      <c r="AE396" s="593">
        <f t="shared" si="185"/>
        <v>-12.207955874625336</v>
      </c>
      <c r="AG396" s="592">
        <f t="shared" si="186"/>
        <v>-1.2189116980989743</v>
      </c>
      <c r="AH396" s="593">
        <f t="shared" si="187"/>
        <v>-99.485218978076745</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5">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1.2528397720003144</v>
      </c>
      <c r="N397" s="585">
        <f t="shared" ref="N397:N460" si="206">-ATAN(G397/z_RHP)</f>
        <v>-0.64651727273262938</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-0.24127301229953479</v>
      </c>
      <c r="X397" s="590">
        <f t="shared" ref="X397:X460" si="212">((L397+R397+N397+V397)-(J397+P397+T397))*radconv</f>
        <v>-161.31879784291357</v>
      </c>
      <c r="Y397" s="593">
        <f t="shared" ref="Y397:Y460" si="213">IF(X397&gt;0,X397,X397+180)</f>
        <v>18.681202157086432</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-1.2447007103870287</v>
      </c>
      <c r="AH397" s="593">
        <f t="shared" ref="AH397:AH460" si="219">(L397+N397-(J397+V397))*radconv</f>
        <v>-99.512581738720215</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5">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1.2554939712819575</v>
      </c>
      <c r="N398" s="585">
        <f t="shared" si="206"/>
        <v>-0.64931321317724255</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-0.28087366655520518</v>
      </c>
      <c r="X398" s="590">
        <f t="shared" si="212"/>
        <v>-161.66347665671233</v>
      </c>
      <c r="Y398" s="593">
        <f t="shared" si="213"/>
        <v>18.336523343287666</v>
      </c>
      <c r="AA398" s="150">
        <f t="shared" si="214"/>
        <v>35687.75</v>
      </c>
      <c r="AB398" s="150">
        <f t="shared" si="215"/>
        <v>1273615500.0625</v>
      </c>
      <c r="AD398" s="592">
        <f t="shared" si="216"/>
        <v>27.47266702860021</v>
      </c>
      <c r="AE398" s="593">
        <f t="shared" si="217"/>
        <v>-12.297365701216096</v>
      </c>
      <c r="AG398" s="592">
        <f t="shared" si="218"/>
        <v>-1.2707822776974778</v>
      </c>
      <c r="AH398" s="593">
        <f t="shared" si="219"/>
        <v>-99.539971268889062</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5">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1.2581579436612056</v>
      </c>
      <c r="N399" s="585">
        <f t="shared" si="206"/>
        <v>-0.6520973352887014</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-0.32018916972979811</v>
      </c>
      <c r="X399" s="590">
        <f t="shared" si="212"/>
        <v>-162.00735755991644</v>
      </c>
      <c r="Y399" s="593">
        <f t="shared" si="213"/>
        <v>17.992642440083557</v>
      </c>
      <c r="AA399" s="150">
        <f t="shared" si="214"/>
        <v>35894.5</v>
      </c>
      <c r="AB399" s="150">
        <f t="shared" si="215"/>
        <v>1288415130.25</v>
      </c>
      <c r="AD399" s="592">
        <f t="shared" si="216"/>
        <v>27.471025178553212</v>
      </c>
      <c r="AE399" s="593">
        <f t="shared" si="217"/>
        <v>-12.342800053891933</v>
      </c>
      <c r="AG399" s="592">
        <f t="shared" si="218"/>
        <v>-1.2965171878295292</v>
      </c>
      <c r="AH399" s="593">
        <f t="shared" si="219"/>
        <v>-99.566705567748954</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5">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1.260831627190228</v>
      </c>
      <c r="N400" s="585">
        <f t="shared" si="206"/>
        <v>-0.65486967095407955</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-0.35922345380973503</v>
      </c>
      <c r="X400" s="590">
        <f t="shared" si="212"/>
        <v>-162.35044132481096</v>
      </c>
      <c r="Y400" s="593">
        <f t="shared" si="213"/>
        <v>17.649558675189041</v>
      </c>
      <c r="AA400" s="150">
        <f t="shared" si="214"/>
        <v>36101.25</v>
      </c>
      <c r="AB400" s="150">
        <f t="shared" si="215"/>
        <v>1303300251.5625</v>
      </c>
      <c r="AD400" s="592">
        <f t="shared" si="216"/>
        <v>27.469375993891457</v>
      </c>
      <c r="AE400" s="593">
        <f t="shared" si="217"/>
        <v>-12.388353500991462</v>
      </c>
      <c r="AG400" s="592">
        <f t="shared" si="218"/>
        <v>-1.3219095729825538</v>
      </c>
      <c r="AH400" s="593">
        <f t="shared" si="219"/>
        <v>-99.592788753550792</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5">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1.2635149602206677</v>
      </c>
      <c r="N401" s="585">
        <f t="shared" si="206"/>
        <v>-0.65763025251575291</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-0.39798038622324905</v>
      </c>
      <c r="X401" s="590">
        <f t="shared" si="212"/>
        <v>-162.6927287673978</v>
      </c>
      <c r="Y401" s="593">
        <f t="shared" si="213"/>
        <v>17.307271232602204</v>
      </c>
      <c r="AA401" s="150">
        <f t="shared" si="214"/>
        <v>36308</v>
      </c>
      <c r="AB401" s="150">
        <f t="shared" si="215"/>
        <v>1318270864</v>
      </c>
      <c r="AD401" s="592">
        <f t="shared" si="216"/>
        <v>27.467719457401031</v>
      </c>
      <c r="AE401" s="593">
        <f t="shared" si="217"/>
        <v>-12.434023549230247</v>
      </c>
      <c r="AG401" s="592">
        <f t="shared" si="218"/>
        <v>-1.3469635018852564</v>
      </c>
      <c r="AH401" s="593">
        <f t="shared" si="219"/>
        <v>-99.618224922677442</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5">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1.2662698623993152</v>
      </c>
      <c r="N402" s="585">
        <f t="shared" si="206"/>
        <v>-0.66044212926546653</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-0.43734472707554273</v>
      </c>
      <c r="X402" s="590">
        <f t="shared" si="212"/>
        <v>-163.04205704973222</v>
      </c>
      <c r="Y402" s="593">
        <f t="shared" si="213"/>
        <v>16.957942950267778</v>
      </c>
      <c r="AA402" s="150">
        <f t="shared" si="214"/>
        <v>36519.5</v>
      </c>
      <c r="AB402" s="150">
        <f t="shared" si="215"/>
        <v>1333673880.25</v>
      </c>
      <c r="AD402" s="592">
        <f t="shared" si="216"/>
        <v>27.466017238395398</v>
      </c>
      <c r="AE402" s="593">
        <f t="shared" si="217"/>
        <v>-12.480860956307399</v>
      </c>
      <c r="AG402" s="592">
        <f t="shared" si="218"/>
        <v>-1.372247002601469</v>
      </c>
      <c r="AH402" s="593">
        <f t="shared" si="219"/>
        <v>-99.643580241633217</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5">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1.2690347330164065</v>
      </c>
      <c r="N403" s="585">
        <f t="shared" si="206"/>
        <v>-0.66324177548986518</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-0.47642681196812392</v>
      </c>
      <c r="X403" s="590">
        <f t="shared" si="212"/>
        <v>-163.39055386202975</v>
      </c>
      <c r="Y403" s="593">
        <f t="shared" si="213"/>
        <v>16.609446137970252</v>
      </c>
      <c r="AA403" s="150">
        <f t="shared" si="214"/>
        <v>36731</v>
      </c>
      <c r="AB403" s="150">
        <f t="shared" si="215"/>
        <v>1349166361</v>
      </c>
      <c r="AD403" s="592">
        <f t="shared" si="216"/>
        <v>27.46430729195076</v>
      </c>
      <c r="AE403" s="593">
        <f t="shared" si="217"/>
        <v>-12.52781527754704</v>
      </c>
      <c r="AG403" s="592">
        <f t="shared" si="218"/>
        <v>-1.3971847322875819</v>
      </c>
      <c r="AH403" s="593">
        <f t="shared" si="219"/>
        <v>-99.66826707663445</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5">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1.2718095070588051</v>
      </c>
      <c r="N404" s="585">
        <f t="shared" si="206"/>
        <v>-0.66602922721074331</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-0.51523057992946719</v>
      </c>
      <c r="X404" s="590">
        <f t="shared" si="212"/>
        <v>-163.73822021295828</v>
      </c>
      <c r="Y404" s="593">
        <f t="shared" si="213"/>
        <v>16.261779787041718</v>
      </c>
      <c r="AA404" s="150">
        <f t="shared" si="214"/>
        <v>36942.5</v>
      </c>
      <c r="AB404" s="150">
        <f t="shared" si="215"/>
        <v>1364748306.25</v>
      </c>
      <c r="AD404" s="592">
        <f t="shared" si="216"/>
        <v>27.462589602142216</v>
      </c>
      <c r="AE404" s="593">
        <f t="shared" si="217"/>
        <v>-12.574884014987243</v>
      </c>
      <c r="AG404" s="592">
        <f t="shared" si="218"/>
        <v>-1.421780848755817</v>
      </c>
      <c r="AH404" s="593">
        <f t="shared" si="219"/>
        <v>-99.692289745136875</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5">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1.274594119847646</v>
      </c>
      <c r="N405" s="585">
        <f t="shared" si="206"/>
        <v>-0.66880452089478304</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-0.55375990495947314</v>
      </c>
      <c r="X405" s="590">
        <f t="shared" si="212"/>
        <v>-164.08505715448044</v>
      </c>
      <c r="Y405" s="593">
        <f t="shared" si="213"/>
        <v>15.914942845519562</v>
      </c>
      <c r="AA405" s="150">
        <f t="shared" si="214"/>
        <v>37154</v>
      </c>
      <c r="AB405" s="150">
        <f t="shared" si="215"/>
        <v>1380419716</v>
      </c>
      <c r="AD405" s="592">
        <f t="shared" si="216"/>
        <v>27.46086415383499</v>
      </c>
      <c r="AE405" s="593">
        <f t="shared" si="217"/>
        <v>-12.622064725153844</v>
      </c>
      <c r="AG405" s="592">
        <f t="shared" si="218"/>
        <v>-1.4460394458188421</v>
      </c>
      <c r="AH405" s="593">
        <f t="shared" si="219"/>
        <v>-99.715652542720207</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5">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1.277451376873328</v>
      </c>
      <c r="N406" s="585">
        <f t="shared" si="206"/>
        <v>-0.67162961162613966</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-0.59287475699622427</v>
      </c>
      <c r="X406" s="590">
        <f t="shared" si="212"/>
        <v>-164.43882715846536</v>
      </c>
      <c r="Y406" s="593">
        <f t="shared" si="213"/>
        <v>15.561172841534642</v>
      </c>
      <c r="AA406" s="150">
        <f t="shared" si="214"/>
        <v>37370.25</v>
      </c>
      <c r="AB406" s="150">
        <f t="shared" si="215"/>
        <v>1396535585.0625</v>
      </c>
      <c r="AD406" s="592">
        <f t="shared" si="216"/>
        <v>27.459091917536806</v>
      </c>
      <c r="AE406" s="593">
        <f t="shared" si="217"/>
        <v>-12.670418332623997</v>
      </c>
      <c r="AG406" s="592">
        <f t="shared" si="218"/>
        <v>-1.4704980816206317</v>
      </c>
      <c r="AH406" s="593">
        <f t="shared" si="219"/>
        <v>-99.73886222184494</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5">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1.2803187838607546</v>
      </c>
      <c r="N407" s="585">
        <f t="shared" si="206"/>
        <v>-0.67444207055189831</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-0.631710689007416</v>
      </c>
      <c r="X407" s="590">
        <f t="shared" si="212"/>
        <v>-164.79173243788125</v>
      </c>
      <c r="Y407" s="593">
        <f t="shared" si="213"/>
        <v>15.208267562118749</v>
      </c>
      <c r="AA407" s="150">
        <f t="shared" si="214"/>
        <v>37586.5</v>
      </c>
      <c r="AB407" s="150">
        <f t="shared" si="215"/>
        <v>1412744982.25</v>
      </c>
      <c r="AD407" s="592">
        <f t="shared" si="216"/>
        <v>27.457311540756137</v>
      </c>
      <c r="AE407" s="593">
        <f t="shared" si="217"/>
        <v>-12.7188840003178</v>
      </c>
      <c r="AG407" s="592">
        <f t="shared" si="218"/>
        <v>-1.4946123237707596</v>
      </c>
      <c r="AH407" s="593">
        <f t="shared" si="219"/>
        <v>-99.761391071749117</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5">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1.2831962727671693</v>
      </c>
      <c r="N408" s="585">
        <f t="shared" si="206"/>
        <v>-0.67724193800868804</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-0.67027163964842207</v>
      </c>
      <c r="X408" s="590">
        <f t="shared" si="212"/>
        <v>-165.14377425043642</v>
      </c>
      <c r="Y408" s="593">
        <f t="shared" si="213"/>
        <v>14.856225749563578</v>
      </c>
      <c r="AA408" s="150">
        <f t="shared" si="214"/>
        <v>37802.75</v>
      </c>
      <c r="AB408" s="150">
        <f t="shared" si="215"/>
        <v>1429047907.5625</v>
      </c>
      <c r="AD408" s="592">
        <f t="shared" si="216"/>
        <v>27.455523009715833</v>
      </c>
      <c r="AE408" s="593">
        <f t="shared" si="217"/>
        <v>-12.767459283308375</v>
      </c>
      <c r="AG408" s="592">
        <f t="shared" si="218"/>
        <v>-1.5183863489751803</v>
      </c>
      <c r="AH408" s="593">
        <f t="shared" si="219"/>
        <v>-99.783243615809823</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5">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1.2860837759205979</v>
      </c>
      <c r="N409" s="585">
        <f t="shared" si="206"/>
        <v>-0.6800292547624408</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-0.70856148218612969</v>
      </c>
      <c r="X409" s="590">
        <f t="shared" si="212"/>
        <v>-165.49495389642038</v>
      </c>
      <c r="Y409" s="593">
        <f t="shared" si="213"/>
        <v>14.505046103579616</v>
      </c>
      <c r="AA409" s="150">
        <f t="shared" si="214"/>
        <v>38019</v>
      </c>
      <c r="AB409" s="150">
        <f t="shared" si="215"/>
        <v>1445444361</v>
      </c>
      <c r="AD409" s="592">
        <f t="shared" si="216"/>
        <v>27.453726311396565</v>
      </c>
      <c r="AE409" s="593">
        <f t="shared" si="217"/>
        <v>-12.816141789795978</v>
      </c>
      <c r="AG409" s="592">
        <f t="shared" si="218"/>
        <v>-1.5418242695146382</v>
      </c>
      <c r="AH409" s="593">
        <f t="shared" si="219"/>
        <v>-99.804424355260835</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5">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1.2890516918525587</v>
      </c>
      <c r="N410" s="585">
        <f t="shared" si="206"/>
        <v>-0.68287127206863696</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-0.74750382461311882</v>
      </c>
      <c r="X410" s="590">
        <f t="shared" si="212"/>
        <v>-165.85376687607049</v>
      </c>
      <c r="Y410" s="593">
        <f t="shared" si="213"/>
        <v>14.146233123929505</v>
      </c>
      <c r="AA410" s="150">
        <f t="shared" si="214"/>
        <v>38240.5</v>
      </c>
      <c r="AB410" s="150">
        <f t="shared" si="215"/>
        <v>1462335840.25</v>
      </c>
      <c r="AD410" s="592">
        <f t="shared" si="216"/>
        <v>27.451877513869608</v>
      </c>
      <c r="AE410" s="593">
        <f t="shared" si="217"/>
        <v>-12.866114898106712</v>
      </c>
      <c r="AG410" s="592">
        <f t="shared" si="218"/>
        <v>-1.5654869911742175</v>
      </c>
      <c r="AH410" s="593">
        <f t="shared" si="219"/>
        <v>-99.825427523396272</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5">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1.2920299716529378</v>
      </c>
      <c r="N411" s="585">
        <f t="shared" si="206"/>
        <v>-0.68570020977394686</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-0.78616975688941637</v>
      </c>
      <c r="X411" s="590">
        <f t="shared" si="212"/>
        <v>-166.21167821210508</v>
      </c>
      <c r="Y411" s="593">
        <f t="shared" si="213"/>
        <v>13.788321787894915</v>
      </c>
      <c r="AA411" s="150">
        <f t="shared" si="214"/>
        <v>38462</v>
      </c>
      <c r="AB411" s="150">
        <f t="shared" si="215"/>
        <v>1479325444</v>
      </c>
      <c r="AD411" s="592">
        <f t="shared" si="216"/>
        <v>27.450020122372241</v>
      </c>
      <c r="AE411" s="593">
        <f t="shared" si="217"/>
        <v>-12.916195584196206</v>
      </c>
      <c r="AG411" s="592">
        <f t="shared" si="218"/>
        <v>-1.588805622452417</v>
      </c>
      <c r="AH411" s="593">
        <f t="shared" si="219"/>
        <v>-99.845735361452043</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5">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1.2950185438173551</v>
      </c>
      <c r="N412" s="585">
        <f t="shared" si="206"/>
        <v>-0.68851611299623383</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-0.82456323660976838</v>
      </c>
      <c r="X412" s="590">
        <f t="shared" si="212"/>
        <v>-166.56868943336912</v>
      </c>
      <c r="Y412" s="593">
        <f t="shared" si="213"/>
        <v>13.431310566630884</v>
      </c>
      <c r="AA412" s="150">
        <f t="shared" si="214"/>
        <v>38683.5</v>
      </c>
      <c r="AB412" s="150">
        <f t="shared" si="215"/>
        <v>1496413172.25</v>
      </c>
      <c r="AD412" s="592">
        <f t="shared" si="216"/>
        <v>27.44815412523149</v>
      </c>
      <c r="AE412" s="593">
        <f t="shared" si="217"/>
        <v>-12.966381441560925</v>
      </c>
      <c r="AG412" s="592">
        <f t="shared" si="218"/>
        <v>-1.6117843806884238</v>
      </c>
      <c r="AH412" s="593">
        <f t="shared" si="219"/>
        <v>-99.865352636593968</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5">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1.2980173372539907</v>
      </c>
      <c r="N413" s="585">
        <f t="shared" si="206"/>
        <v>-0.69131902726539984</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-0.86268815513766439</v>
      </c>
      <c r="X413" s="590">
        <f t="shared" si="212"/>
        <v>-166.92480211065057</v>
      </c>
      <c r="Y413" s="593">
        <f t="shared" si="213"/>
        <v>13.075197889349425</v>
      </c>
      <c r="AA413" s="150">
        <f t="shared" si="214"/>
        <v>38905</v>
      </c>
      <c r="AB413" s="150">
        <f t="shared" si="215"/>
        <v>1513599025</v>
      </c>
      <c r="AD413" s="592">
        <f t="shared" si="216"/>
        <v>27.446279511507051</v>
      </c>
      <c r="AE413" s="593">
        <f t="shared" si="217"/>
        <v>-13.016670115871062</v>
      </c>
      <c r="AG413" s="592">
        <f t="shared" si="218"/>
        <v>-1.6344274178875406</v>
      </c>
      <c r="AH413" s="593">
        <f t="shared" si="219"/>
        <v>-99.884284093093328</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5">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1.3010943198767415</v>
      </c>
      <c r="N414" s="585">
        <f t="shared" si="206"/>
        <v>-0.69417182852171189</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-0.90139994462656436</v>
      </c>
      <c r="X414" s="590">
        <f t="shared" si="212"/>
        <v>-167.28802593046592</v>
      </c>
      <c r="Y414" s="593">
        <f t="shared" si="213"/>
        <v>12.711974069534079</v>
      </c>
      <c r="AA414" s="150">
        <f t="shared" si="214"/>
        <v>39131.5</v>
      </c>
      <c r="AB414" s="150">
        <f t="shared" si="215"/>
        <v>1531274292.25</v>
      </c>
      <c r="AD414" s="592">
        <f t="shared" si="216"/>
        <v>27.444353660253434</v>
      </c>
      <c r="AE414" s="593">
        <f t="shared" si="217"/>
        <v>-13.068197899390878</v>
      </c>
      <c r="AG414" s="592">
        <f t="shared" si="218"/>
        <v>-1.6572386693844134</v>
      </c>
      <c r="AH414" s="593">
        <f t="shared" si="219"/>
        <v>-99.902938600384871</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5">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1.3041818414076407</v>
      </c>
      <c r="N415" s="585">
        <f t="shared" si="206"/>
        <v>-0.69701114534509734</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-0.93983893516708816</v>
      </c>
      <c r="X415" s="590">
        <f t="shared" si="212"/>
        <v>-167.6503136333709</v>
      </c>
      <c r="Y415" s="593">
        <f t="shared" si="213"/>
        <v>12.349686366629101</v>
      </c>
      <c r="AA415" s="150">
        <f t="shared" si="214"/>
        <v>39358</v>
      </c>
      <c r="AB415" s="150">
        <f t="shared" si="215"/>
        <v>1549052164</v>
      </c>
      <c r="AD415" s="592">
        <f t="shared" si="216"/>
        <v>27.442418778123113</v>
      </c>
      <c r="AE415" s="593">
        <f t="shared" si="217"/>
        <v>-13.119828375621559</v>
      </c>
      <c r="AG415" s="592">
        <f t="shared" si="218"/>
        <v>-1.6797074497622404</v>
      </c>
      <c r="AH415" s="593">
        <f t="shared" si="219"/>
        <v>-99.920885938855363</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5">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1.3072798271745998</v>
      </c>
      <c r="N416" s="585">
        <f t="shared" si="206"/>
        <v>-0.69983702766010314</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-0.97800908152028221</v>
      </c>
      <c r="X416" s="590">
        <f t="shared" si="212"/>
        <v>-168.01166702735964</v>
      </c>
      <c r="Y416" s="593">
        <f t="shared" si="213"/>
        <v>11.988332972640364</v>
      </c>
      <c r="AA416" s="150">
        <f t="shared" si="214"/>
        <v>39584.5</v>
      </c>
      <c r="AB416" s="150">
        <f t="shared" si="215"/>
        <v>1566932640.25</v>
      </c>
      <c r="AD416" s="592">
        <f t="shared" si="216"/>
        <v>27.440474855646734</v>
      </c>
      <c r="AE416" s="593">
        <f t="shared" si="217"/>
        <v>-13.171559187062083</v>
      </c>
      <c r="AG416" s="592">
        <f t="shared" si="218"/>
        <v>-1.7018379951388294</v>
      </c>
      <c r="AH416" s="593">
        <f t="shared" si="219"/>
        <v>-99.938131108985445</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5">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1.3103882029597955</v>
      </c>
      <c r="N417" s="585">
        <f t="shared" si="206"/>
        <v>-0.70264952577822359</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-1.0159142717993981</v>
      </c>
      <c r="X417" s="590">
        <f t="shared" si="212"/>
        <v>-168.37208796120632</v>
      </c>
      <c r="Y417" s="593">
        <f t="shared" si="213"/>
        <v>11.627912038793681</v>
      </c>
      <c r="AA417" s="150">
        <f t="shared" si="214"/>
        <v>39811</v>
      </c>
      <c r="AB417" s="150">
        <f t="shared" si="215"/>
        <v>1584915721</v>
      </c>
      <c r="AD417" s="592">
        <f t="shared" si="216"/>
        <v>27.438521884059238</v>
      </c>
      <c r="AE417" s="593">
        <f t="shared" si="217"/>
        <v>-13.223388027112907</v>
      </c>
      <c r="AG417" s="592">
        <f t="shared" si="218"/>
        <v>-1.7236344758013904</v>
      </c>
      <c r="AH417" s="593">
        <f t="shared" si="219"/>
        <v>-99.954679087414462</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5">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1.3135793043074142</v>
      </c>
      <c r="N418" s="585">
        <f t="shared" si="206"/>
        <v>-0.70551341397949785</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-1.054427806858441</v>
      </c>
      <c r="X418" s="590">
        <f t="shared" si="212"/>
        <v>-168.73989986189028</v>
      </c>
      <c r="Y418" s="593">
        <f t="shared" si="213"/>
        <v>11.260100138109721</v>
      </c>
      <c r="AA418" s="150">
        <f t="shared" si="214"/>
        <v>40042.75</v>
      </c>
      <c r="AB418" s="150">
        <f t="shared" si="215"/>
        <v>1603421827.5625</v>
      </c>
      <c r="AD418" s="592">
        <f t="shared" si="216"/>
        <v>27.436514270328203</v>
      </c>
      <c r="AE418" s="593">
        <f t="shared" si="217"/>
        <v>-13.276517307153574</v>
      </c>
      <c r="AG418" s="592">
        <f t="shared" si="218"/>
        <v>-1.7455946857023208</v>
      </c>
      <c r="AH418" s="593">
        <f t="shared" si="219"/>
        <v>-99.970894175206013</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5">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1.3167811271728194</v>
      </c>
      <c r="N419" s="585">
        <f t="shared" si="206"/>
        <v>-0.7083633980705607</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-1.0926719881798381</v>
      </c>
      <c r="X419" s="590">
        <f t="shared" si="212"/>
        <v>-169.106739616147</v>
      </c>
      <c r="Y419" s="593">
        <f t="shared" si="213"/>
        <v>10.893260383853004</v>
      </c>
      <c r="AA419" s="150">
        <f t="shared" si="214"/>
        <v>40274.5</v>
      </c>
      <c r="AB419" s="150">
        <f t="shared" si="215"/>
        <v>1622035350.25</v>
      </c>
      <c r="AD419" s="592">
        <f t="shared" si="216"/>
        <v>27.434497166727411</v>
      </c>
      <c r="AE419" s="593">
        <f t="shared" si="217"/>
        <v>-13.329744484432874</v>
      </c>
      <c r="AG419" s="592">
        <f t="shared" si="218"/>
        <v>-1.7672137924984035</v>
      </c>
      <c r="AH419" s="593">
        <f t="shared" si="219"/>
        <v>-99.986389841957958</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5">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1.3199935935365419</v>
      </c>
      <c r="N420" s="585">
        <f t="shared" si="206"/>
        <v>-0.71119953310092965</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-1.1306507726974566</v>
      </c>
      <c r="X420" s="590">
        <f t="shared" si="212"/>
        <v>-169.47260932898436</v>
      </c>
      <c r="Y420" s="593">
        <f t="shared" si="213"/>
        <v>10.527390671015638</v>
      </c>
      <c r="AA420" s="150">
        <f t="shared" si="214"/>
        <v>40506.25</v>
      </c>
      <c r="AB420" s="150">
        <f t="shared" si="215"/>
        <v>1640756289.0625</v>
      </c>
      <c r="AD420" s="592">
        <f t="shared" si="216"/>
        <v>27.432470566015738</v>
      </c>
      <c r="AE420" s="593">
        <f t="shared" si="217"/>
        <v>-13.383067244539523</v>
      </c>
      <c r="AG420" s="592">
        <f t="shared" si="218"/>
        <v>-1.7884960577829625</v>
      </c>
      <c r="AH420" s="593">
        <f t="shared" si="219"/>
        <v>-100.00117134242787</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5">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1.3232166258786684</v>
      </c>
      <c r="N421" s="585">
        <f t="shared" si="206"/>
        <v>-0.71402187447760501</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-1.1683680501114888</v>
      </c>
      <c r="X421" s="590">
        <f t="shared" si="212"/>
        <v>-169.83751114486623</v>
      </c>
      <c r="Y421" s="593">
        <f t="shared" si="213"/>
        <v>10.162488855133773</v>
      </c>
      <c r="AA421" s="150">
        <f t="shared" si="214"/>
        <v>40738</v>
      </c>
      <c r="AB421" s="150">
        <f t="shared" si="215"/>
        <v>1659584644</v>
      </c>
      <c r="AD421" s="592">
        <f t="shared" si="216"/>
        <v>27.430434461631258</v>
      </c>
      <c r="AE421" s="593">
        <f t="shared" si="217"/>
        <v>-13.436483322847845</v>
      </c>
      <c r="AG421" s="592">
        <f t="shared" si="218"/>
        <v>-1.8094456766455469</v>
      </c>
      <c r="AH421" s="593">
        <f t="shared" si="219"/>
        <v>-100.01524390616611</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5">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1.3265270134175597</v>
      </c>
      <c r="N422" s="585">
        <f t="shared" si="206"/>
        <v>-0.71689696662038849</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-1.2067135536064124</v>
      </c>
      <c r="X422" s="590">
        <f t="shared" si="212"/>
        <v>-170.2100726359551</v>
      </c>
      <c r="Y422" s="593">
        <f t="shared" si="213"/>
        <v>9.7899273640448996</v>
      </c>
      <c r="AA422" s="150">
        <f t="shared" si="214"/>
        <v>40975.25</v>
      </c>
      <c r="AB422" s="150">
        <f t="shared" si="215"/>
        <v>1678971112.5625</v>
      </c>
      <c r="AD422" s="592">
        <f t="shared" si="216"/>
        <v>27.428340184632084</v>
      </c>
      <c r="AE422" s="593">
        <f t="shared" si="217"/>
        <v>-13.491261449519374</v>
      </c>
      <c r="AG422" s="592">
        <f t="shared" si="218"/>
        <v>-1.8305522113842618</v>
      </c>
      <c r="AH422" s="593">
        <f t="shared" si="219"/>
        <v>-100.02892150675494</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5">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1.3298483115897402</v>
      </c>
      <c r="N423" s="585">
        <f t="shared" si="206"/>
        <v>-0.7197577212184616</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-1.244793030086097</v>
      </c>
      <c r="X423" s="590">
        <f t="shared" si="212"/>
        <v>-170.58162441331905</v>
      </c>
      <c r="Y423" s="593">
        <f t="shared" si="213"/>
        <v>9.418375586680952</v>
      </c>
      <c r="AA423" s="150">
        <f t="shared" si="214"/>
        <v>41212.5</v>
      </c>
      <c r="AB423" s="150">
        <f t="shared" si="215"/>
        <v>1698470156.25</v>
      </c>
      <c r="AD423" s="592">
        <f t="shared" si="216"/>
        <v>27.426235935688904</v>
      </c>
      <c r="AE423" s="593">
        <f t="shared" si="217"/>
        <v>-13.546132727083492</v>
      </c>
      <c r="AG423" s="592">
        <f t="shared" si="218"/>
        <v>-1.8513188129815539</v>
      </c>
      <c r="AH423" s="593">
        <f t="shared" si="219"/>
        <v>-100.04186713299976</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5">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1.333180438851562</v>
      </c>
      <c r="N424" s="585">
        <f t="shared" si="206"/>
        <v>-0.72260419877767013</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-1.2826104427237444</v>
      </c>
      <c r="X424" s="590">
        <f t="shared" si="212"/>
        <v>-170.95216889811664</v>
      </c>
      <c r="Y424" s="593">
        <f t="shared" si="213"/>
        <v>9.0478311018833608</v>
      </c>
      <c r="AA424" s="150">
        <f t="shared" si="214"/>
        <v>41449.75</v>
      </c>
      <c r="AB424" s="150">
        <f t="shared" si="215"/>
        <v>1718081775.0625</v>
      </c>
      <c r="AD424" s="592">
        <f t="shared" si="216"/>
        <v>27.424121709837614</v>
      </c>
      <c r="AE424" s="593">
        <f t="shared" si="217"/>
        <v>-13.60109487902081</v>
      </c>
      <c r="AG424" s="592">
        <f t="shared" si="218"/>
        <v>-1.871749774385316</v>
      </c>
      <c r="AH424" s="593">
        <f t="shared" si="219"/>
        <v>-100.05408631468647</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5">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1.3365233142080211</v>
      </c>
      <c r="N425" s="585">
        <f t="shared" si="206"/>
        <v>-0.72543646012688734</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-1.3201696867204356</v>
      </c>
      <c r="X425" s="590">
        <f t="shared" si="212"/>
        <v>-171.32170854944025</v>
      </c>
      <c r="Y425" s="593">
        <f t="shared" si="213"/>
        <v>8.6782914505597546</v>
      </c>
      <c r="AA425" s="150">
        <f t="shared" si="214"/>
        <v>41687</v>
      </c>
      <c r="AB425" s="150">
        <f t="shared" si="215"/>
        <v>1737805969</v>
      </c>
      <c r="AD425" s="592">
        <f t="shared" si="216"/>
        <v>27.421997502771212</v>
      </c>
      <c r="AE425" s="593">
        <f t="shared" si="217"/>
        <v>-13.656145677616612</v>
      </c>
      <c r="AG425" s="592">
        <f t="shared" si="218"/>
        <v>-1.8918493212041334</v>
      </c>
      <c r="AH425" s="593">
        <f t="shared" si="219"/>
        <v>-100.06558455458791</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5">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1.3399547259195808</v>
      </c>
      <c r="N426" s="585">
        <f t="shared" si="206"/>
        <v>-0.72831972919186116</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-1.3583364178547266</v>
      </c>
      <c r="X426" s="590">
        <f t="shared" si="212"/>
        <v>-171.69877753713226</v>
      </c>
      <c r="Y426" s="593">
        <f t="shared" si="213"/>
        <v>8.3012224628677416</v>
      </c>
      <c r="AA426" s="150">
        <f t="shared" si="214"/>
        <v>41929.75</v>
      </c>
      <c r="AB426" s="150">
        <f t="shared" si="215"/>
        <v>1758103935.0625</v>
      </c>
      <c r="AD426" s="592">
        <f t="shared" si="216"/>
        <v>27.419813716902496</v>
      </c>
      <c r="AE426" s="593">
        <f t="shared" si="217"/>
        <v>-13.712562159379745</v>
      </c>
      <c r="AG426" s="592">
        <f t="shared" si="218"/>
        <v>-1.912076131882877</v>
      </c>
      <c r="AH426" s="593">
        <f t="shared" si="219"/>
        <v>-100.07660885636942</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5">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1.3433972200370743</v>
      </c>
      <c r="N427" s="585">
        <f t="shared" si="206"/>
        <v>-0.73118824508164815</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-1.3962409100881188</v>
      </c>
      <c r="X427" s="590">
        <f t="shared" si="212"/>
        <v>-172.07479988724566</v>
      </c>
      <c r="Y427" s="593">
        <f t="shared" si="213"/>
        <v>7.9252001127543394</v>
      </c>
      <c r="AA427" s="150">
        <f t="shared" si="214"/>
        <v>42172.5</v>
      </c>
      <c r="AB427" s="150">
        <f t="shared" si="215"/>
        <v>1778519756.25</v>
      </c>
      <c r="AD427" s="592">
        <f t="shared" si="216"/>
        <v>27.417619474576711</v>
      </c>
      <c r="AE427" s="593">
        <f t="shared" si="217"/>
        <v>-13.769066877680544</v>
      </c>
      <c r="AG427" s="592">
        <f t="shared" si="218"/>
        <v>-1.9319647240195343</v>
      </c>
      <c r="AH427" s="593">
        <f t="shared" si="219"/>
        <v>-100.0868899719375</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5">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1.3468507115820054</v>
      </c>
      <c r="N428" s="585">
        <f t="shared" si="206"/>
        <v>-0.73404207389578646</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-1.4338871238580828</v>
      </c>
      <c r="X428" s="590">
        <f t="shared" si="212"/>
        <v>-172.44977834884213</v>
      </c>
      <c r="Y428" s="593">
        <f t="shared" si="213"/>
        <v>7.5502216511578695</v>
      </c>
      <c r="AA428" s="150">
        <f t="shared" si="214"/>
        <v>42415.25</v>
      </c>
      <c r="AB428" s="150">
        <f t="shared" si="215"/>
        <v>1799053432.5625</v>
      </c>
      <c r="AD428" s="592">
        <f t="shared" si="216"/>
        <v>27.415414773186143</v>
      </c>
      <c r="AE428" s="593">
        <f t="shared" si="217"/>
        <v>-13.825657596160246</v>
      </c>
      <c r="AG428" s="592">
        <f t="shared" si="218"/>
        <v>-1.9515194137729854</v>
      </c>
      <c r="AH428" s="593">
        <f t="shared" si="219"/>
        <v>-100.09643370863033</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5">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1.3503151161751334</v>
      </c>
      <c r="N429" s="585">
        <f t="shared" si="206"/>
        <v>-0.7368812820156283</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-1.471278951034287</v>
      </c>
      <c r="X429" s="590">
        <f t="shared" si="212"/>
        <v>-172.82371570701466</v>
      </c>
      <c r="Y429" s="593">
        <f t="shared" si="213"/>
        <v>7.1762842929853434</v>
      </c>
      <c r="AA429" s="150">
        <f t="shared" si="214"/>
        <v>42658</v>
      </c>
      <c r="AB429" s="150">
        <f t="shared" si="215"/>
        <v>1819704964</v>
      </c>
      <c r="AD429" s="592">
        <f t="shared" si="216"/>
        <v>27.413199610758102</v>
      </c>
      <c r="AE429" s="593">
        <f t="shared" si="217"/>
        <v>-13.882332126206341</v>
      </c>
      <c r="AG429" s="592">
        <f t="shared" si="218"/>
        <v>-1.9707444492565562</v>
      </c>
      <c r="AH429" s="593">
        <f t="shared" si="219"/>
        <v>-100.10524584462091</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5">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1.3538727982370184</v>
      </c>
      <c r="N430" s="585">
        <f t="shared" si="206"/>
        <v>-0.73977266753737481</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-1.5092969715888929</v>
      </c>
      <c r="X430" s="590">
        <f t="shared" si="212"/>
        <v>-173.20543504749477</v>
      </c>
      <c r="Y430" s="593">
        <f t="shared" si="213"/>
        <v>6.7945649525052261</v>
      </c>
      <c r="AA430" s="150">
        <f t="shared" si="214"/>
        <v>42906.5</v>
      </c>
      <c r="AB430" s="150">
        <f t="shared" si="215"/>
        <v>1840967742.25</v>
      </c>
      <c r="AD430" s="592">
        <f t="shared" si="216"/>
        <v>27.410921140883278</v>
      </c>
      <c r="AE430" s="593">
        <f t="shared" si="217"/>
        <v>-13.940433678135387</v>
      </c>
      <c r="AG430" s="592">
        <f t="shared" si="218"/>
        <v>-1.9900877721031072</v>
      </c>
      <c r="AH430" s="593">
        <f t="shared" si="219"/>
        <v>-100.11351491478315</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5">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1.3574417394408793</v>
      </c>
      <c r="N431" s="585">
        <f t="shared" si="206"/>
        <v>-0.74264887312785655</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-1.5470564508984959</v>
      </c>
      <c r="X431" s="590">
        <f t="shared" si="212"/>
        <v>-173.5860693956709</v>
      </c>
      <c r="Y431" s="593">
        <f t="shared" si="213"/>
        <v>6.4139306043290958</v>
      </c>
      <c r="AA431" s="150">
        <f t="shared" si="214"/>
        <v>43155</v>
      </c>
      <c r="AB431" s="150">
        <f t="shared" si="215"/>
        <v>1862354025</v>
      </c>
      <c r="AD431" s="592">
        <f t="shared" si="216"/>
        <v>27.408631706293825</v>
      </c>
      <c r="AE431" s="593">
        <f t="shared" si="217"/>
        <v>-13.998618565344948</v>
      </c>
      <c r="AG431" s="592">
        <f t="shared" si="218"/>
        <v>-2.0090944350622766</v>
      </c>
      <c r="AH431" s="593">
        <f t="shared" si="219"/>
        <v>-100.12102947542084</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5">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1.3610218512138226</v>
      </c>
      <c r="N432" s="585">
        <f t="shared" si="206"/>
        <v>-0.74550997080337356</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-1.5845613497866198</v>
      </c>
      <c r="X432" s="590">
        <f t="shared" si="212"/>
        <v>-173.96562184802963</v>
      </c>
      <c r="Y432" s="593">
        <f t="shared" si="213"/>
        <v>6.0343781519703725</v>
      </c>
      <c r="AA432" s="150">
        <f t="shared" si="214"/>
        <v>43403.5</v>
      </c>
      <c r="AB432" s="150">
        <f t="shared" si="215"/>
        <v>1883863812.25</v>
      </c>
      <c r="AD432" s="592">
        <f t="shared" si="216"/>
        <v>27.406331306816305</v>
      </c>
      <c r="AE432" s="593">
        <f t="shared" si="217"/>
        <v>-14.056884586904276</v>
      </c>
      <c r="AG432" s="592">
        <f t="shared" si="218"/>
        <v>-2.0277687825551536</v>
      </c>
      <c r="AH432" s="593">
        <f t="shared" si="219"/>
        <v>-100.12779563055388</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5">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1.3646130456366727</v>
      </c>
      <c r="N433" s="585">
        <f t="shared" si="206"/>
        <v>-0.74835603281504592</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-1.6218155597797923</v>
      </c>
      <c r="X433" s="590">
        <f t="shared" si="212"/>
        <v>-174.34409553494356</v>
      </c>
      <c r="Y433" s="593">
        <f t="shared" si="213"/>
        <v>5.6559044650564374</v>
      </c>
      <c r="AA433" s="150">
        <f t="shared" si="214"/>
        <v>43652</v>
      </c>
      <c r="AB433" s="150">
        <f t="shared" si="215"/>
        <v>1905497104</v>
      </c>
      <c r="AD433" s="592">
        <f t="shared" si="216"/>
        <v>27.404019942892816</v>
      </c>
      <c r="AE433" s="593">
        <f t="shared" si="217"/>
        <v>-14.115229588692419</v>
      </c>
      <c r="AG433" s="592">
        <f t="shared" si="218"/>
        <v>-2.0461150901035086</v>
      </c>
      <c r="AH433" s="593">
        <f t="shared" si="219"/>
        <v>-100.13381945240789</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5">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1.3682950856883003</v>
      </c>
      <c r="N434" s="585">
        <f t="shared" si="206"/>
        <v>-0.75124962306576415</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-1.6596392169647247</v>
      </c>
      <c r="X434" s="590">
        <f t="shared" si="212"/>
        <v>-174.72983435222631</v>
      </c>
      <c r="Y434" s="593">
        <f t="shared" si="213"/>
        <v>5.2701656477736947</v>
      </c>
      <c r="AA434" s="150">
        <f t="shared" si="214"/>
        <v>43906</v>
      </c>
      <c r="AB434" s="150">
        <f t="shared" si="215"/>
        <v>1927736836</v>
      </c>
      <c r="AD434" s="592">
        <f t="shared" si="216"/>
        <v>27.401646091963926</v>
      </c>
      <c r="AE434" s="593">
        <f t="shared" si="217"/>
        <v>-14.174945355245034</v>
      </c>
      <c r="AG434" s="592">
        <f t="shared" si="218"/>
        <v>-2.06453282223096</v>
      </c>
      <c r="AH434" s="593">
        <f t="shared" si="219"/>
        <v>-100.13921572666892</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5">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1.3719885207410885</v>
      </c>
      <c r="N435" s="585">
        <f t="shared" si="206"/>
        <v>-0.75412765803914716</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-1.6972089715059546</v>
      </c>
      <c r="X435" s="590">
        <f t="shared" si="212"/>
        <v>-175.11445283928916</v>
      </c>
      <c r="Y435" s="593">
        <f t="shared" si="213"/>
        <v>4.8855471607108427</v>
      </c>
      <c r="AA435" s="150">
        <f t="shared" si="214"/>
        <v>44160</v>
      </c>
      <c r="AB435" s="150">
        <f t="shared" si="215"/>
        <v>1950105600</v>
      </c>
      <c r="AD435" s="592">
        <f t="shared" si="216"/>
        <v>27.39926078869199</v>
      </c>
      <c r="AE435" s="593">
        <f t="shared" si="217"/>
        <v>-14.234739230018164</v>
      </c>
      <c r="AG435" s="592">
        <f t="shared" si="218"/>
        <v>-2.0826166511170348</v>
      </c>
      <c r="AH435" s="593">
        <f t="shared" si="219"/>
        <v>-100.14384917106439</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5">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1.3756932590157949</v>
      </c>
      <c r="N436" s="585">
        <f t="shared" si="206"/>
        <v>-0.75699021553617318</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-1.7345287637605347</v>
      </c>
      <c r="X436" s="590">
        <f t="shared" si="212"/>
        <v>-175.4979544400378</v>
      </c>
      <c r="Y436" s="593">
        <f t="shared" si="213"/>
        <v>4.5020455599621982</v>
      </c>
      <c r="AA436" s="150">
        <f t="shared" si="214"/>
        <v>44414</v>
      </c>
      <c r="AB436" s="150">
        <f t="shared" si="215"/>
        <v>1972603396</v>
      </c>
      <c r="AD436" s="592">
        <f t="shared" si="216"/>
        <v>27.396864035423427</v>
      </c>
      <c r="AE436" s="593">
        <f t="shared" si="217"/>
        <v>-14.294609055958702</v>
      </c>
      <c r="AG436" s="592">
        <f t="shared" si="218"/>
        <v>-2.1003709281971612</v>
      </c>
      <c r="AH436" s="593">
        <f t="shared" si="219"/>
        <v>-100.1477261671437</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5">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1.379409209439783</v>
      </c>
      <c r="N437" s="585">
        <f t="shared" si="206"/>
        <v>-0.75983737353791092</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-1.7716024644858561</v>
      </c>
      <c r="X437" s="590">
        <f t="shared" si="212"/>
        <v>-175.88034262959877</v>
      </c>
      <c r="Y437" s="593">
        <f t="shared" si="213"/>
        <v>4.119657370401228</v>
      </c>
      <c r="AA437" s="150">
        <f t="shared" si="214"/>
        <v>44668</v>
      </c>
      <c r="AB437" s="150">
        <f t="shared" si="215"/>
        <v>1995230224</v>
      </c>
      <c r="AD437" s="592">
        <f t="shared" si="216"/>
        <v>27.39445583509842</v>
      </c>
      <c r="AE437" s="593">
        <f t="shared" si="217"/>
        <v>-14.354552721637347</v>
      </c>
      <c r="AG437" s="592">
        <f t="shared" si="218"/>
        <v>-2.1177999355618673</v>
      </c>
      <c r="AH437" s="593">
        <f t="shared" si="219"/>
        <v>-100.15085306180659</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5">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1.3832281305344643</v>
      </c>
      <c r="N438" s="585">
        <f t="shared" si="206"/>
        <v>-0.76273869873381439</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-1.8093371386605208</v>
      </c>
      <c r="X438" s="590">
        <f t="shared" si="212"/>
        <v>-176.27098879912793</v>
      </c>
      <c r="Y438" s="593">
        <f t="shared" si="213"/>
        <v>3.7290112008720655</v>
      </c>
      <c r="AA438" s="150">
        <f t="shared" si="214"/>
        <v>44928.25</v>
      </c>
      <c r="AB438" s="150">
        <f t="shared" si="215"/>
        <v>2018547648.0625</v>
      </c>
      <c r="AD438" s="592">
        <f t="shared" si="216"/>
        <v>27.391976508529691</v>
      </c>
      <c r="AE438" s="593">
        <f t="shared" si="217"/>
        <v>-14.41604580526578</v>
      </c>
      <c r="AG438" s="592">
        <f t="shared" si="218"/>
        <v>-2.135324838956473</v>
      </c>
      <c r="AH438" s="593">
        <f t="shared" si="219"/>
        <v>-100.15328548405427</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5">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1.38705863103942</v>
      </c>
      <c r="N439" s="585">
        <f t="shared" si="206"/>
        <v>-0.76562402350919989</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-1.8468214707975605</v>
      </c>
      <c r="X439" s="590">
        <f t="shared" si="212"/>
        <v>-176.66047357035259</v>
      </c>
      <c r="Y439" s="593">
        <f t="shared" si="213"/>
        <v>3.3395264296474068</v>
      </c>
      <c r="AA439" s="150">
        <f t="shared" si="214"/>
        <v>45188.5</v>
      </c>
      <c r="AB439" s="150">
        <f t="shared" si="215"/>
        <v>2042000532.25</v>
      </c>
      <c r="AD439" s="592">
        <f t="shared" si="216"/>
        <v>27.389485172718096</v>
      </c>
      <c r="AE439" s="593">
        <f t="shared" si="217"/>
        <v>-14.477612060823809</v>
      </c>
      <c r="AG439" s="592">
        <f t="shared" si="218"/>
        <v>-2.1525171525364666</v>
      </c>
      <c r="AH439" s="593">
        <f t="shared" si="219"/>
        <v>-100.15494381483086</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5">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1.3909006152865597</v>
      </c>
      <c r="N440" s="585">
        <f t="shared" si="206"/>
        <v>-0.76849343221479149</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-1.8840594063984353</v>
      </c>
      <c r="X440" s="590">
        <f t="shared" si="212"/>
        <v>-177.04880077439256</v>
      </c>
      <c r="Y440" s="593">
        <f t="shared" si="213"/>
        <v>2.9511992256074393</v>
      </c>
      <c r="AA440" s="150">
        <f t="shared" si="214"/>
        <v>45448.75</v>
      </c>
      <c r="AB440" s="150">
        <f t="shared" si="215"/>
        <v>2065588876.5625</v>
      </c>
      <c r="AD440" s="592">
        <f t="shared" si="216"/>
        <v>27.386981832650786</v>
      </c>
      <c r="AE440" s="593">
        <f t="shared" si="217"/>
        <v>-14.539249358012109</v>
      </c>
      <c r="AG440" s="592">
        <f t="shared" si="218"/>
        <v>-2.169381264809743</v>
      </c>
      <c r="AH440" s="593">
        <f t="shared" si="219"/>
        <v>-100.15583476788585</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5">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1.3947539883766638</v>
      </c>
      <c r="N441" s="585">
        <f t="shared" si="206"/>
        <v>-0.7713470093216771</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-1.9210548203990321</v>
      </c>
      <c r="X441" s="590">
        <f t="shared" si="212"/>
        <v>-177.43597427089128</v>
      </c>
      <c r="Y441" s="593">
        <f t="shared" si="213"/>
        <v>2.564025729108721</v>
      </c>
      <c r="AA441" s="150">
        <f t="shared" si="214"/>
        <v>45709</v>
      </c>
      <c r="AB441" s="150">
        <f t="shared" si="215"/>
        <v>2089312681</v>
      </c>
      <c r="AD441" s="592">
        <f t="shared" si="216"/>
        <v>27.384466493893946</v>
      </c>
      <c r="AE441" s="593">
        <f t="shared" si="217"/>
        <v>-14.600955611440146</v>
      </c>
      <c r="AG441" s="592">
        <f t="shared" si="218"/>
        <v>-2.185921493815568</v>
      </c>
      <c r="AH441" s="593">
        <f t="shared" si="219"/>
        <v>-100.15596501868424</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5">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1.3987078876020851</v>
      </c>
      <c r="N442" s="585">
        <f t="shared" si="206"/>
        <v>-0.77425007984637839</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-1.9586561499506021</v>
      </c>
      <c r="X442" s="590">
        <f t="shared" si="212"/>
        <v>-177.83088409897454</v>
      </c>
      <c r="Y442" s="593">
        <f t="shared" si="213"/>
        <v>2.1691159010254637</v>
      </c>
      <c r="AA442" s="150">
        <f t="shared" si="214"/>
        <v>45975.25</v>
      </c>
      <c r="AB442" s="150">
        <f t="shared" si="215"/>
        <v>2113723612.5625</v>
      </c>
      <c r="AD442" s="592">
        <f t="shared" si="216"/>
        <v>27.381880754193105</v>
      </c>
      <c r="AE442" s="593">
        <f t="shared" si="217"/>
        <v>-14.664153717785476</v>
      </c>
      <c r="AG442" s="592">
        <f t="shared" si="218"/>
        <v>-2.2025123142666021</v>
      </c>
      <c r="AH442" s="593">
        <f t="shared" si="219"/>
        <v>-100.15531798223816</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5">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1.4026735083688433</v>
      </c>
      <c r="N443" s="585">
        <f t="shared" si="206"/>
        <v>-0.77713675953674521</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-1.9960116313769642</v>
      </c>
      <c r="X443" s="590">
        <f t="shared" si="212"/>
        <v>-178.22459466729441</v>
      </c>
      <c r="Y443" s="593">
        <f t="shared" si="213"/>
        <v>1.7754053327055885</v>
      </c>
      <c r="AA443" s="150">
        <f t="shared" si="214"/>
        <v>46241.5</v>
      </c>
      <c r="AB443" s="150">
        <f t="shared" si="215"/>
        <v>2138276322.25</v>
      </c>
      <c r="AD443" s="592">
        <f t="shared" si="216"/>
        <v>27.379282469739174</v>
      </c>
      <c r="AE443" s="593">
        <f t="shared" si="217"/>
        <v>-14.727419719522963</v>
      </c>
      <c r="AG443" s="592">
        <f t="shared" si="218"/>
        <v>-2.2187730684870925</v>
      </c>
      <c r="AH443" s="593">
        <f t="shared" si="219"/>
        <v>-100.15388877544152</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5">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1.4066507515410591</v>
      </c>
      <c r="N444" s="585">
        <f t="shared" si="206"/>
        <v>-0.78000713911342723</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-2.0331251939524457</v>
      </c>
      <c r="X444" s="590">
        <f t="shared" si="212"/>
        <v>-178.61711019232177</v>
      </c>
      <c r="Y444" s="593">
        <f t="shared" si="213"/>
        <v>1.3828898076782252</v>
      </c>
      <c r="AA444" s="150">
        <f t="shared" si="214"/>
        <v>46507.75</v>
      </c>
      <c r="AB444" s="150">
        <f t="shared" si="215"/>
        <v>2162970810.0625</v>
      </c>
      <c r="AD444" s="592">
        <f t="shared" si="216"/>
        <v>27.376671648263098</v>
      </c>
      <c r="AE444" s="593">
        <f t="shared" si="217"/>
        <v>-14.79075152160466</v>
      </c>
      <c r="AG444" s="592">
        <f t="shared" si="218"/>
        <v>-2.2347081602433034</v>
      </c>
      <c r="AH444" s="593">
        <f t="shared" si="219"/>
        <v>-100.15168442150231</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5">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1.4106395188119782</v>
      </c>
      <c r="N445" s="585">
        <f t="shared" si="206"/>
        <v>-0.78286130934984566</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-2.0700006958645609</v>
      </c>
      <c r="X445" s="590">
        <f t="shared" si="212"/>
        <v>-179.00843491582165</v>
      </c>
      <c r="Y445" s="593">
        <f t="shared" si="213"/>
        <v>0.99156508417834743</v>
      </c>
      <c r="AA445" s="150">
        <f t="shared" si="214"/>
        <v>46774</v>
      </c>
      <c r="AB445" s="150">
        <f t="shared" si="215"/>
        <v>2187807076</v>
      </c>
      <c r="AD445" s="592">
        <f t="shared" si="216"/>
        <v>27.374048298057716</v>
      </c>
      <c r="AE445" s="593">
        <f t="shared" si="217"/>
        <v>-14.854147072927974</v>
      </c>
      <c r="AG445" s="592">
        <f t="shared" si="218"/>
        <v>-2.2503219221317043</v>
      </c>
      <c r="AH445" s="593">
        <f t="shared" si="219"/>
        <v>-100.1487119014803</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5">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1.4147299888144205</v>
      </c>
      <c r="N446" s="585">
        <f t="shared" si="206"/>
        <v>-0.78576313214364601</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-2.1074649733977195</v>
      </c>
      <c r="X446" s="590">
        <f t="shared" si="212"/>
        <v>-179.407351312494</v>
      </c>
      <c r="Y446" s="593">
        <f t="shared" si="213"/>
        <v>0.59264868750599931</v>
      </c>
      <c r="AA446" s="150">
        <f t="shared" si="214"/>
        <v>47046.25</v>
      </c>
      <c r="AB446" s="150">
        <f t="shared" si="215"/>
        <v>2213349639.0625</v>
      </c>
      <c r="AD446" s="592">
        <f t="shared" si="216"/>
        <v>27.371352883895192</v>
      </c>
      <c r="AE446" s="593">
        <f t="shared" si="217"/>
        <v>-14.919035084598075</v>
      </c>
      <c r="AG446" s="592">
        <f t="shared" si="218"/>
        <v>-2.2659597108723282</v>
      </c>
      <c r="AH446" s="593">
        <f t="shared" si="219"/>
        <v>-100.14488529659454</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5">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1.4188323029102179</v>
      </c>
      <c r="N447" s="585">
        <f t="shared" si="206"/>
        <v>-0.78864819885306214</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-2.1446882776815919</v>
      </c>
      <c r="X447" s="590">
        <f t="shared" si="212"/>
        <v>-179.80503167805242</v>
      </c>
      <c r="Y447" s="593">
        <f t="shared" si="213"/>
        <v>0.1949683219475844</v>
      </c>
      <c r="AA447" s="150">
        <f t="shared" si="214"/>
        <v>47318.5</v>
      </c>
      <c r="AB447" s="150">
        <f t="shared" si="215"/>
        <v>2239040442.25</v>
      </c>
      <c r="AD447" s="592">
        <f t="shared" si="216"/>
        <v>27.368644389230042</v>
      </c>
      <c r="AE447" s="593">
        <f t="shared" si="217"/>
        <v>-14.983985549017731</v>
      </c>
      <c r="AG447" s="592">
        <f t="shared" si="218"/>
        <v>-2.2812704646766861</v>
      </c>
      <c r="AH447" s="593">
        <f t="shared" si="219"/>
        <v>-100.14027014179537</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5">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1.4229463586608158</v>
      </c>
      <c r="N448" s="585">
        <f t="shared" si="206"/>
        <v>-0.79151660657869205</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-2.1816745125727803</v>
      </c>
      <c r="X448" s="590">
        <f t="shared" si="212"/>
        <v>-180.20148062053642</v>
      </c>
      <c r="Y448" s="593">
        <f t="shared" si="213"/>
        <v>-0.20148062053641524</v>
      </c>
      <c r="AA448" s="150">
        <f t="shared" si="214"/>
        <v>47590.75</v>
      </c>
      <c r="AB448" s="150">
        <f t="shared" si="215"/>
        <v>2264879485.5625</v>
      </c>
      <c r="AD448" s="592">
        <f t="shared" si="216"/>
        <v>27.365922824644997</v>
      </c>
      <c r="AE448" s="593">
        <f t="shared" si="217"/>
        <v>-15.048996408019164</v>
      </c>
      <c r="AG448" s="592">
        <f t="shared" si="218"/>
        <v>-2.2962585940503142</v>
      </c>
      <c r="AH448" s="593">
        <f t="shared" si="219"/>
        <v>-100.13487376369349</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5">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1.4270720545174089</v>
      </c>
      <c r="N449" s="585">
        <f t="shared" si="206"/>
        <v>-0.79436845239957909</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-2.2184275104861633</v>
      </c>
      <c r="X449" s="590">
        <f t="shared" si="212"/>
        <v>-180.59670276966517</v>
      </c>
      <c r="Y449" s="593">
        <f t="shared" si="213"/>
        <v>-0.59670276966517122</v>
      </c>
      <c r="AA449" s="150">
        <f t="shared" si="214"/>
        <v>47863</v>
      </c>
      <c r="AB449" s="150">
        <f t="shared" si="215"/>
        <v>2290866769</v>
      </c>
      <c r="AD449" s="592">
        <f t="shared" si="216"/>
        <v>27.363188201267672</v>
      </c>
      <c r="AE449" s="593">
        <f t="shared" si="217"/>
        <v>-15.114065646363359</v>
      </c>
      <c r="AG449" s="592">
        <f t="shared" si="218"/>
        <v>-2.3109284377728203</v>
      </c>
      <c r="AH449" s="593">
        <f t="shared" si="219"/>
        <v>-100.12870344253916</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5">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1.4313082070011807</v>
      </c>
      <c r="N450" s="585">
        <f t="shared" si="206"/>
        <v>-0.79727132795719902</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-2.2558202630231694</v>
      </c>
      <c r="X450" s="590">
        <f t="shared" si="212"/>
        <v>-181.00009467152569</v>
      </c>
      <c r="Y450" s="593">
        <f t="shared" si="213"/>
        <v>-1.0000946715256873</v>
      </c>
      <c r="AA450" s="150">
        <f t="shared" si="214"/>
        <v>48141.75</v>
      </c>
      <c r="AB450" s="150">
        <f t="shared" si="215"/>
        <v>2317628093.0625</v>
      </c>
      <c r="AD450" s="592">
        <f t="shared" si="216"/>
        <v>27.360374770435605</v>
      </c>
      <c r="AE450" s="593">
        <f t="shared" si="217"/>
        <v>-15.180746846191202</v>
      </c>
      <c r="AG450" s="592">
        <f t="shared" si="218"/>
        <v>-2.3256232080156312</v>
      </c>
      <c r="AH450" s="593">
        <f t="shared" si="219"/>
        <v>-100.12159147795275</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5">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1.4355563494292285</v>
      </c>
      <c r="N451" s="585">
        <f t="shared" si="206"/>
        <v>-0.8001570471552647</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-2.2929764165333304</v>
      </c>
      <c r="X451" s="590">
        <f t="shared" si="212"/>
        <v>-181.40221038741194</v>
      </c>
      <c r="Y451" s="593">
        <f t="shared" si="213"/>
        <v>-1.4022103874119409</v>
      </c>
      <c r="AA451" s="150">
        <f t="shared" si="214"/>
        <v>48420.5</v>
      </c>
      <c r="AB451" s="150">
        <f t="shared" si="215"/>
        <v>2344544820.25</v>
      </c>
      <c r="AD451" s="592">
        <f t="shared" si="216"/>
        <v>27.35754767509842</v>
      </c>
      <c r="AE451" s="593">
        <f t="shared" si="217"/>
        <v>-15.247485103414274</v>
      </c>
      <c r="AG451" s="592">
        <f t="shared" si="218"/>
        <v>-2.3399932942120176</v>
      </c>
      <c r="AH451" s="593">
        <f t="shared" si="219"/>
        <v>-100.11368347024494</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5">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1.4398163756734588</v>
      </c>
      <c r="N452" s="585">
        <f t="shared" si="206"/>
        <v>-0.80302571400301559</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-2.3298998613689639</v>
      </c>
      <c r="X452" s="590">
        <f t="shared" si="212"/>
        <v>-181.80305494818691</v>
      </c>
      <c r="Y452" s="593">
        <f t="shared" si="213"/>
        <v>-1.8030549481869116</v>
      </c>
      <c r="AA452" s="150">
        <f t="shared" si="214"/>
        <v>48699.25</v>
      </c>
      <c r="AB452" s="150">
        <f t="shared" si="215"/>
        <v>2371616950.5625</v>
      </c>
      <c r="AD452" s="592">
        <f t="shared" si="216"/>
        <v>27.354706928873213</v>
      </c>
      <c r="AE452" s="593">
        <f t="shared" si="217"/>
        <v>-15.314278387236008</v>
      </c>
      <c r="AG452" s="592">
        <f t="shared" si="218"/>
        <v>-2.3540431289940327</v>
      </c>
      <c r="AH452" s="593">
        <f t="shared" si="219"/>
        <v>-100.10498708212216</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5">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1.4440881805629386</v>
      </c>
      <c r="N453" s="585">
        <f t="shared" si="206"/>
        <v>-0.80587743240676102</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-2.3665944157398604</v>
      </c>
      <c r="X453" s="590">
        <f t="shared" si="212"/>
        <v>-182.20263340254346</v>
      </c>
      <c r="Y453" s="593">
        <f t="shared" si="213"/>
        <v>-2.2026334025434551</v>
      </c>
      <c r="AA453" s="150">
        <f t="shared" si="214"/>
        <v>48978</v>
      </c>
      <c r="AB453" s="150">
        <f t="shared" si="215"/>
        <v>2398844484</v>
      </c>
      <c r="AD453" s="592">
        <f t="shared" si="216"/>
        <v>27.351852545908951</v>
      </c>
      <c r="AE453" s="593">
        <f t="shared" si="217"/>
        <v>-15.381124709028517</v>
      </c>
      <c r="AG453" s="592">
        <f t="shared" si="218"/>
        <v>-2.3677770723397367</v>
      </c>
      <c r="AH453" s="593">
        <f t="shared" si="219"/>
        <v>-100.09550992502488</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5">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1.4484716821564965</v>
      </c>
      <c r="N454" s="585">
        <f t="shared" si="206"/>
        <v>-0.80877821069013844</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-2.4039115785657383</v>
      </c>
      <c r="X454" s="590">
        <f t="shared" si="212"/>
        <v>-182.61022392992646</v>
      </c>
      <c r="Y454" s="593">
        <f t="shared" si="213"/>
        <v>-2.6102239299264625</v>
      </c>
      <c r="AA454" s="150">
        <f t="shared" si="214"/>
        <v>49263.25</v>
      </c>
      <c r="AB454" s="150">
        <f t="shared" si="215"/>
        <v>2426867800.5625</v>
      </c>
      <c r="AD454" s="592">
        <f t="shared" si="216"/>
        <v>27.348917501218722</v>
      </c>
      <c r="AE454" s="593">
        <f t="shared" si="217"/>
        <v>-15.449582654960324</v>
      </c>
      <c r="AG454" s="592">
        <f t="shared" si="218"/>
        <v>-2.3815087166872013</v>
      </c>
      <c r="AH454" s="593">
        <f t="shared" si="219"/>
        <v>-100.08501137238342</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5">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1.4528672983297397</v>
      </c>
      <c r="N455" s="585">
        <f t="shared" si="206"/>
        <v>-0.81166146063835609</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-2.4409969168124186</v>
      </c>
      <c r="X455" s="590">
        <f t="shared" si="212"/>
        <v>-183.0164993635544</v>
      </c>
      <c r="Y455" s="593">
        <f t="shared" si="213"/>
        <v>-3.0164993635544022</v>
      </c>
      <c r="AA455" s="150">
        <f t="shared" si="214"/>
        <v>49548.5</v>
      </c>
      <c r="AB455" s="150">
        <f t="shared" si="215"/>
        <v>2455053852.25</v>
      </c>
      <c r="AD455" s="592">
        <f t="shared" si="216"/>
        <v>27.345968208019464</v>
      </c>
      <c r="AE455" s="593">
        <f t="shared" si="217"/>
        <v>-15.518092058030906</v>
      </c>
      <c r="AG455" s="592">
        <f t="shared" si="218"/>
        <v>-2.3949185767755736</v>
      </c>
      <c r="AH455" s="593">
        <f t="shared" si="219"/>
        <v>-100.07371117592587</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5">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1.4572749194581081</v>
      </c>
      <c r="N456" s="585">
        <f t="shared" si="206"/>
        <v>-0.81452729314333516</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-2.477854297205742</v>
      </c>
      <c r="X456" s="590">
        <f t="shared" si="212"/>
        <v>-183.42146516251526</v>
      </c>
      <c r="Y456" s="593">
        <f t="shared" si="213"/>
        <v>-3.4214651625152612</v>
      </c>
      <c r="AA456" s="150">
        <f t="shared" si="214"/>
        <v>49833.75</v>
      </c>
      <c r="AB456" s="150">
        <f t="shared" si="215"/>
        <v>2483402639.0625</v>
      </c>
      <c r="AD456" s="592">
        <f t="shared" si="216"/>
        <v>27.34300468310424</v>
      </c>
      <c r="AE456" s="593">
        <f t="shared" si="217"/>
        <v>-15.586650916915618</v>
      </c>
      <c r="AG456" s="592">
        <f t="shared" si="218"/>
        <v>-2.4080110979167673</v>
      </c>
      <c r="AH456" s="593">
        <f t="shared" si="219"/>
        <v>-100.06161732486761</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5">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1.4616944369416978</v>
      </c>
      <c r="N457" s="585">
        <f t="shared" si="206"/>
        <v>-0.81737581890570787</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-2.5144875138207712</v>
      </c>
      <c r="X457" s="590">
        <f t="shared" si="212"/>
        <v>-183.82512679947081</v>
      </c>
      <c r="Y457" s="593">
        <f t="shared" si="213"/>
        <v>-3.8251267994708087</v>
      </c>
      <c r="AA457" s="150">
        <f t="shared" si="214"/>
        <v>50119</v>
      </c>
      <c r="AB457" s="150">
        <f t="shared" si="215"/>
        <v>2511914161</v>
      </c>
      <c r="AD457" s="592">
        <f t="shared" si="216"/>
        <v>27.340026943784757</v>
      </c>
      <c r="AE457" s="593">
        <f t="shared" si="217"/>
        <v>-15.655257271634081</v>
      </c>
      <c r="AG457" s="592">
        <f t="shared" si="218"/>
        <v>-2.4207906520063078</v>
      </c>
      <c r="AH457" s="593">
        <f t="shared" si="219"/>
        <v>-100.04873775190532</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5">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1.466226856039478</v>
      </c>
      <c r="N458" s="585">
        <f t="shared" si="206"/>
        <v>-0.82027146648055183</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-2.5517274885996963</v>
      </c>
      <c r="X458" s="590">
        <f t="shared" si="212"/>
        <v>-184.23664332515372</v>
      </c>
      <c r="Y458" s="593">
        <f t="shared" si="213"/>
        <v>-4.2366433251537217</v>
      </c>
      <c r="AA458" s="150">
        <f t="shared" si="214"/>
        <v>50410.75</v>
      </c>
      <c r="AB458" s="150">
        <f t="shared" si="215"/>
        <v>2541243715.5625</v>
      </c>
      <c r="AD458" s="592">
        <f t="shared" si="216"/>
        <v>27.336966665254451</v>
      </c>
      <c r="AE458" s="593">
        <f t="shared" si="217"/>
        <v>-15.725474092200237</v>
      </c>
      <c r="AG458" s="592">
        <f t="shared" si="218"/>
        <v>-2.4335421498956649</v>
      </c>
      <c r="AH458" s="593">
        <f t="shared" si="219"/>
        <v>-100.03476011836314</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5">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1.4707714932876796</v>
      </c>
      <c r="N459" s="585">
        <f t="shared" si="206"/>
        <v>-0.82314924314268223</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-2.58874076941557</v>
      </c>
      <c r="X459" s="590">
        <f t="shared" si="212"/>
        <v>-184.64680719346708</v>
      </c>
      <c r="Y459" s="593">
        <f t="shared" si="213"/>
        <v>-4.6468071934670832</v>
      </c>
      <c r="AA459" s="150">
        <f t="shared" si="214"/>
        <v>50702.5</v>
      </c>
      <c r="AB459" s="150">
        <f t="shared" si="215"/>
        <v>2570743506.25</v>
      </c>
      <c r="AD459" s="592">
        <f t="shared" si="216"/>
        <v>27.333891555360267</v>
      </c>
      <c r="AE459" s="593">
        <f t="shared" si="217"/>
        <v>-15.795736578024135</v>
      </c>
      <c r="AG459" s="592">
        <f t="shared" si="218"/>
        <v>-2.4459752773333614</v>
      </c>
      <c r="AH459" s="593">
        <f t="shared" si="219"/>
        <v>-100.01997715092996</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5">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1.4753282357750364</v>
      </c>
      <c r="N460" s="585">
        <f t="shared" si="206"/>
        <v>-0.82600926659627449</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-2.6255311896945437</v>
      </c>
      <c r="X460" s="590">
        <f t="shared" si="212"/>
        <v>-185.05562429486034</v>
      </c>
      <c r="Y460" s="593">
        <f t="shared" si="213"/>
        <v>-5.0556242948603369</v>
      </c>
      <c r="AA460" s="150">
        <f t="shared" si="214"/>
        <v>50994.25</v>
      </c>
      <c r="AB460" s="150">
        <f t="shared" si="215"/>
        <v>2600413533.0625</v>
      </c>
      <c r="AD460" s="592">
        <f t="shared" si="216"/>
        <v>27.330801634213039</v>
      </c>
      <c r="AE460" s="593">
        <f t="shared" si="217"/>
        <v>-15.86604275900671</v>
      </c>
      <c r="AG460" s="592">
        <f t="shared" si="218"/>
        <v>-2.4580944831720988</v>
      </c>
      <c r="AH460" s="593">
        <f t="shared" si="219"/>
        <v>-100.00439715317899</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5">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1.4798969716820305</v>
      </c>
      <c r="N461" s="585">
        <f t="shared" ref="N461:N524" si="238">-ATAN(G461/z_RHP)</f>
        <v>-0.82885165425951302</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-2.6621025098953481</v>
      </c>
      <c r="X461" s="590">
        <f t="shared" ref="X461:X524" si="244">((L461+R461+N461+V461)-(J461+P461+T461))*radconv</f>
        <v>-185.46310052872681</v>
      </c>
      <c r="Y461" s="593">
        <f t="shared" ref="Y461:Y524" si="245">IF(X461&gt;0,X461,X461+180)</f>
        <v>-5.4631005287268124</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-2.4699041422499945</v>
      </c>
      <c r="AH461" s="593">
        <f t="shared" ref="AH461:AH524" si="251">(L461+N461-(J461+V461))*radconv</f>
        <v>-99.988028366599679</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5">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1.484587638779149</v>
      </c>
      <c r="N462" s="585">
        <f t="shared" si="238"/>
        <v>-0.8317440864996577</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-2.6993280955909582</v>
      </c>
      <c r="X462" s="590">
        <f t="shared" si="244"/>
        <v>-185.87897005820778</v>
      </c>
      <c r="Y462" s="593">
        <f t="shared" si="245"/>
        <v>-5.8789700582077842</v>
      </c>
      <c r="AA462" s="150">
        <f t="shared" si="246"/>
        <v>51584.75</v>
      </c>
      <c r="AB462" s="150">
        <f t="shared" si="247"/>
        <v>2660986432.5625</v>
      </c>
      <c r="AD462" s="592">
        <f t="shared" si="248"/>
        <v>27.324502413690837</v>
      </c>
      <c r="AE462" s="593">
        <f t="shared" si="249"/>
        <v>-16.008467826901985</v>
      </c>
      <c r="AG462" s="592">
        <f t="shared" si="250"/>
        <v>-2.481680869440769</v>
      </c>
      <c r="AH462" s="593">
        <f t="shared" si="251"/>
        <v>-99.970457980690639</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5">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1.4892906478819898</v>
      </c>
      <c r="N463" s="585">
        <f t="shared" si="238"/>
        <v>-0.83461827472075267</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-2.7363316942320788</v>
      </c>
      <c r="X463" s="590">
        <f t="shared" si="244"/>
        <v>-186.29344614802227</v>
      </c>
      <c r="Y463" s="593">
        <f t="shared" si="245"/>
        <v>-6.2934461480222694</v>
      </c>
      <c r="AA463" s="150">
        <f t="shared" si="246"/>
        <v>51883.5</v>
      </c>
      <c r="AB463" s="150">
        <f t="shared" si="247"/>
        <v>2691897572.25</v>
      </c>
      <c r="AD463" s="592">
        <f t="shared" si="248"/>
        <v>27.321292441368822</v>
      </c>
      <c r="AE463" s="593">
        <f t="shared" si="249"/>
        <v>-16.080584772097225</v>
      </c>
      <c r="AG463" s="592">
        <f t="shared" si="250"/>
        <v>-2.4931420709331595</v>
      </c>
      <c r="AH463" s="593">
        <f t="shared" si="251"/>
        <v>-99.952077791943395</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5">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1.4940058824356652</v>
      </c>
      <c r="N464" s="585">
        <f t="shared" si="238"/>
        <v>-0.83747434395106146</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-2.7731171156803565</v>
      </c>
      <c r="X464" s="590">
        <f t="shared" si="244"/>
        <v>-186.70653515275023</v>
      </c>
      <c r="Y464" s="593">
        <f t="shared" si="245"/>
        <v>-6.7065351527502344</v>
      </c>
      <c r="AA464" s="150">
        <f t="shared" si="246"/>
        <v>52182.25</v>
      </c>
      <c r="AB464" s="150">
        <f t="shared" si="247"/>
        <v>2722987215.0625</v>
      </c>
      <c r="AD464" s="592">
        <f t="shared" si="248"/>
        <v>27.318067029153642</v>
      </c>
      <c r="AE464" s="593">
        <f t="shared" si="249"/>
        <v>-16.152739594009141</v>
      </c>
      <c r="AG464" s="592">
        <f t="shared" si="250"/>
        <v>-2.5042922125225973</v>
      </c>
      <c r="AH464" s="593">
        <f t="shared" si="251"/>
        <v>-99.93289644680867</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5">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1.498733227050995</v>
      </c>
      <c r="N465" s="585">
        <f t="shared" si="238"/>
        <v>-0.84031241882989371</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-2.8096880962172599</v>
      </c>
      <c r="X465" s="590">
        <f t="shared" si="244"/>
        <v>-187.11824343097095</v>
      </c>
      <c r="Y465" s="593">
        <f t="shared" si="245"/>
        <v>-7.1182434309709492</v>
      </c>
      <c r="AA465" s="150">
        <f t="shared" si="246"/>
        <v>52481</v>
      </c>
      <c r="AB465" s="150">
        <f t="shared" si="247"/>
        <v>2754255361</v>
      </c>
      <c r="AD465" s="592">
        <f t="shared" si="248"/>
        <v>27.314826201231234</v>
      </c>
      <c r="AE465" s="593">
        <f t="shared" si="249"/>
        <v>-16.224930385357023</v>
      </c>
      <c r="AG465" s="592">
        <f t="shared" si="250"/>
        <v>-2.5151356850578894</v>
      </c>
      <c r="AH465" s="593">
        <f t="shared" si="251"/>
        <v>-99.912922523360137</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5">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1.5035797865244911</v>
      </c>
      <c r="N466" s="585">
        <f t="shared" si="238"/>
        <v>-0.84319613822190298</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-2.8468674209058227</v>
      </c>
      <c r="X466" s="590">
        <f t="shared" si="244"/>
        <v>-187.53783265916067</v>
      </c>
      <c r="Y466" s="593">
        <f t="shared" si="245"/>
        <v>-7.5378326591606708</v>
      </c>
      <c r="AA466" s="150">
        <f t="shared" si="246"/>
        <v>52786.5</v>
      </c>
      <c r="AB466" s="150">
        <f t="shared" si="247"/>
        <v>2786414582.25</v>
      </c>
      <c r="AD466" s="592">
        <f t="shared" si="248"/>
        <v>27.311496233186908</v>
      </c>
      <c r="AE466" s="593">
        <f t="shared" si="249"/>
        <v>-16.298787516690421</v>
      </c>
      <c r="AG466" s="592">
        <f t="shared" si="250"/>
        <v>-2.5259115138926305</v>
      </c>
      <c r="AH466" s="593">
        <f t="shared" si="251"/>
        <v>-99.891686530329153</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5">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1.5084387691160273</v>
      </c>
      <c r="N467" s="585">
        <f t="shared" si="238"/>
        <v>-0.84606130324016482</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-2.8838301785730112</v>
      </c>
      <c r="X467" s="590">
        <f t="shared" si="244"/>
        <v>-187.9559915189067</v>
      </c>
      <c r="Y467" s="593">
        <f t="shared" si="245"/>
        <v>-7.9559915189066999</v>
      </c>
      <c r="AA467" s="150">
        <f t="shared" si="246"/>
        <v>53092</v>
      </c>
      <c r="AB467" s="150">
        <f t="shared" si="247"/>
        <v>2818760464</v>
      </c>
      <c r="AD467" s="592">
        <f t="shared" si="248"/>
        <v>27.308150197635385</v>
      </c>
      <c r="AE467" s="593">
        <f t="shared" si="249"/>
        <v>-16.37267835006412</v>
      </c>
      <c r="AG467" s="592">
        <f t="shared" si="250"/>
        <v>-2.53637571268349</v>
      </c>
      <c r="AH467" s="593">
        <f t="shared" si="251"/>
        <v>-99.869639663116146</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5">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1.5133100551600167</v>
      </c>
      <c r="N468" s="585">
        <f t="shared" si="238"/>
        <v>-0.84890804579386225</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-2.9205801359720605</v>
      </c>
      <c r="X468" s="590">
        <f t="shared" si="244"/>
        <v>-188.37272681390917</v>
      </c>
      <c r="Y468" s="593">
        <f t="shared" si="245"/>
        <v>-8.3727268139091677</v>
      </c>
      <c r="AA468" s="150">
        <f t="shared" si="246"/>
        <v>53397.5</v>
      </c>
      <c r="AB468" s="150">
        <f t="shared" si="247"/>
        <v>2851293006.25</v>
      </c>
      <c r="AD468" s="592">
        <f t="shared" si="248"/>
        <v>27.304788121956456</v>
      </c>
      <c r="AE468" s="593">
        <f t="shared" si="249"/>
        <v>-16.446600968184352</v>
      </c>
      <c r="AG468" s="592">
        <f t="shared" si="250"/>
        <v>-2.5465327433659275</v>
      </c>
      <c r="AH468" s="593">
        <f t="shared" si="251"/>
        <v>-99.846790872666531</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5">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1.5181935262256405</v>
      </c>
      <c r="N469" s="585">
        <f t="shared" si="238"/>
        <v>-0.85173649729574197</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-2.9571209861190657</v>
      </c>
      <c r="X469" s="590">
        <f t="shared" si="244"/>
        <v>-188.78804534655646</v>
      </c>
      <c r="Y469" s="593">
        <f t="shared" si="245"/>
        <v>-8.7880453465564585</v>
      </c>
      <c r="AA469" s="150">
        <f t="shared" si="246"/>
        <v>53703</v>
      </c>
      <c r="AB469" s="150">
        <f t="shared" si="247"/>
        <v>2884012209</v>
      </c>
      <c r="AD469" s="592">
        <f t="shared" si="248"/>
        <v>27.301410034012903</v>
      </c>
      <c r="AE469" s="593">
        <f t="shared" si="249"/>
        <v>-16.520553492729153</v>
      </c>
      <c r="AG469" s="592">
        <f t="shared" si="250"/>
        <v>-2.5563869924252129</v>
      </c>
      <c r="AH469" s="593">
        <f t="shared" si="251"/>
        <v>-99.823149035213646</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5">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1.523205389655778</v>
      </c>
      <c r="N470" s="585">
        <f t="shared" si="238"/>
        <v>-0.85461326179218966</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-2.9943161788637078</v>
      </c>
      <c r="X470" s="590">
        <f t="shared" si="244"/>
        <v>-189.21175955241978</v>
      </c>
      <c r="Y470" s="593">
        <f t="shared" si="245"/>
        <v>-9.2117595524197782</v>
      </c>
      <c r="AA470" s="150">
        <f t="shared" si="246"/>
        <v>54015.75</v>
      </c>
      <c r="AB470" s="150">
        <f t="shared" si="247"/>
        <v>2917701248.0625</v>
      </c>
      <c r="AD470" s="592">
        <f t="shared" si="248"/>
        <v>27.297935221495123</v>
      </c>
      <c r="AE470" s="593">
        <f t="shared" si="249"/>
        <v>-16.596290086231051</v>
      </c>
      <c r="AG470" s="592">
        <f t="shared" si="250"/>
        <v>-2.5661659555387644</v>
      </c>
      <c r="AH470" s="593">
        <f t="shared" si="251"/>
        <v>-99.798133827727085</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5">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1.5282297760474355</v>
      </c>
      <c r="N471" s="585">
        <f t="shared" si="238"/>
        <v>-0.85747113383772422</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-3.0312998243866955</v>
      </c>
      <c r="X471" s="590">
        <f t="shared" si="244"/>
        <v>-189.63400337151171</v>
      </c>
      <c r="Y471" s="593">
        <f t="shared" si="245"/>
        <v>-9.6340033715117102</v>
      </c>
      <c r="AA471" s="150">
        <f t="shared" si="246"/>
        <v>54328.5</v>
      </c>
      <c r="AB471" s="150">
        <f t="shared" si="247"/>
        <v>2951585912.25</v>
      </c>
      <c r="AD471" s="592">
        <f t="shared" si="248"/>
        <v>27.294443688289924</v>
      </c>
      <c r="AE471" s="593">
        <f t="shared" si="249"/>
        <v>-16.672054159282268</v>
      </c>
      <c r="AG471" s="592">
        <f t="shared" si="250"/>
        <v>-2.5756366632923329</v>
      </c>
      <c r="AH471" s="593">
        <f t="shared" si="251"/>
        <v>-99.772306072221383</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5">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1.5332665622905226</v>
      </c>
      <c r="N472" s="585">
        <f t="shared" si="238"/>
        <v>-0.86031025270475892</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-3.0680756550792934</v>
      </c>
      <c r="X472" s="590">
        <f t="shared" si="244"/>
        <v>-190.05478408940164</v>
      </c>
      <c r="Y472" s="593">
        <f t="shared" si="245"/>
        <v>-10.054784089401636</v>
      </c>
      <c r="AA472" s="150">
        <f t="shared" si="246"/>
        <v>54641.25</v>
      </c>
      <c r="AB472" s="150">
        <f t="shared" si="247"/>
        <v>2985666201.5625</v>
      </c>
      <c r="AD472" s="592">
        <f t="shared" si="248"/>
        <v>27.290935465777725</v>
      </c>
      <c r="AE472" s="593">
        <f t="shared" si="249"/>
        <v>-16.747843816762856</v>
      </c>
      <c r="AG472" s="592">
        <f t="shared" si="250"/>
        <v>-2.5848035861826375</v>
      </c>
      <c r="AH472" s="593">
        <f t="shared" si="251"/>
        <v>-99.745675049017748</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5">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1.5383156265854601</v>
      </c>
      <c r="N473" s="585">
        <f t="shared" si="238"/>
        <v>-0.86313075705326359</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-3.1046473291706356</v>
      </c>
      <c r="X473" s="590">
        <f t="shared" si="244"/>
        <v>-190.47410898469789</v>
      </c>
      <c r="Y473" s="593">
        <f t="shared" si="245"/>
        <v>-10.474108984697892</v>
      </c>
      <c r="AA473" s="150">
        <f t="shared" si="246"/>
        <v>54954</v>
      </c>
      <c r="AB473" s="150">
        <f t="shared" si="247"/>
        <v>3019942116</v>
      </c>
      <c r="AD473" s="592">
        <f t="shared" si="248"/>
        <v>27.287410585812637</v>
      </c>
      <c r="AE473" s="593">
        <f t="shared" si="249"/>
        <v>-16.823657201891535</v>
      </c>
      <c r="AG473" s="592">
        <f t="shared" si="250"/>
        <v>-2.593671118439441</v>
      </c>
      <c r="AH473" s="593">
        <f t="shared" si="251"/>
        <v>-99.718249956667819</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5">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1.543494318142687</v>
      </c>
      <c r="N474" s="585">
        <f t="shared" si="238"/>
        <v>-0.86599752197774882</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-3.1418592170271871</v>
      </c>
      <c r="X474" s="590">
        <f t="shared" si="244"/>
        <v>-190.90165518845905</v>
      </c>
      <c r="Y474" s="593">
        <f t="shared" si="245"/>
        <v>-10.901655188459046</v>
      </c>
      <c r="AA474" s="150">
        <f t="shared" si="246"/>
        <v>55274</v>
      </c>
      <c r="AB474" s="150">
        <f t="shared" si="247"/>
        <v>3055215076</v>
      </c>
      <c r="AD474" s="592">
        <f t="shared" si="248"/>
        <v>27.283786786565422</v>
      </c>
      <c r="AE474" s="593">
        <f t="shared" si="249"/>
        <v>-16.90125071310289</v>
      </c>
      <c r="AG474" s="592">
        <f t="shared" si="250"/>
        <v>-2.6024388364465416</v>
      </c>
      <c r="AH474" s="593">
        <f t="shared" si="251"/>
        <v>-99.689376725536633</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5">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1.5486856097670008</v>
      </c>
      <c r="N475" s="585">
        <f t="shared" si="238"/>
        <v>-0.86884509102123131</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-3.1788648908508561</v>
      </c>
      <c r="X475" s="590">
        <f t="shared" si="244"/>
        <v>-191.32769267999547</v>
      </c>
      <c r="Y475" s="593">
        <f t="shared" si="245"/>
        <v>-11.327692679995465</v>
      </c>
      <c r="AA475" s="150">
        <f t="shared" si="246"/>
        <v>55594</v>
      </c>
      <c r="AB475" s="150">
        <f t="shared" si="247"/>
        <v>3090692836</v>
      </c>
      <c r="AD475" s="592">
        <f t="shared" si="248"/>
        <v>27.280145617557572</v>
      </c>
      <c r="AE475" s="593">
        <f t="shared" si="249"/>
        <v>-16.978865250486319</v>
      </c>
      <c r="AG475" s="592">
        <f t="shared" si="250"/>
        <v>-2.6109021918117259</v>
      </c>
      <c r="AH475" s="593">
        <f t="shared" si="251"/>
        <v>-99.659691404715531</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5">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1.5538893751740832</v>
      </c>
      <c r="N476" s="585">
        <f t="shared" si="238"/>
        <v>-0.87167361062510318</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-3.2156680386013377</v>
      </c>
      <c r="X476" s="590">
        <f t="shared" si="244"/>
        <v>-191.75222922518435</v>
      </c>
      <c r="Y476" s="593">
        <f t="shared" si="245"/>
        <v>-11.752229225184351</v>
      </c>
      <c r="AA476" s="150">
        <f t="shared" si="246"/>
        <v>55914</v>
      </c>
      <c r="AB476" s="150">
        <f t="shared" si="247"/>
        <v>3126375396</v>
      </c>
      <c r="AD476" s="592">
        <f t="shared" si="248"/>
        <v>27.276487114365793</v>
      </c>
      <c r="AE476" s="593">
        <f t="shared" si="249"/>
        <v>-17.056498943098827</v>
      </c>
      <c r="AG476" s="592">
        <f t="shared" si="250"/>
        <v>-2.6190656536921342</v>
      </c>
      <c r="AH476" s="593">
        <f t="shared" si="251"/>
        <v>-99.62920358238425</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5">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1.5591054894641692</v>
      </c>
      <c r="N477" s="585">
        <f t="shared" si="238"/>
        <v>-0.87448322649731225</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-3.252272273877689</v>
      </c>
      <c r="X477" s="590">
        <f t="shared" si="244"/>
        <v>-192.17527257697</v>
      </c>
      <c r="Y477" s="593">
        <f t="shared" si="245"/>
        <v>-12.175272576970002</v>
      </c>
      <c r="AA477" s="150">
        <f t="shared" si="246"/>
        <v>56234</v>
      </c>
      <c r="AB477" s="150">
        <f t="shared" si="247"/>
        <v>3162262756</v>
      </c>
      <c r="AD477" s="592">
        <f t="shared" si="248"/>
        <v>27.272811313030608</v>
      </c>
      <c r="AE477" s="593">
        <f t="shared" si="249"/>
        <v>-17.134149957652266</v>
      </c>
      <c r="AG477" s="592">
        <f t="shared" si="250"/>
        <v>-2.6269336143515902</v>
      </c>
      <c r="AH477" s="593">
        <f t="shared" si="251"/>
        <v>-99.597922757689958</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5">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1.5644565139520825</v>
      </c>
      <c r="N478" s="585">
        <f t="shared" si="238"/>
        <v>-0.87733927049827776</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-3.2895321553386854</v>
      </c>
      <c r="X478" s="590">
        <f t="shared" si="244"/>
        <v>-192.60669298421442</v>
      </c>
      <c r="Y478" s="593">
        <f t="shared" si="245"/>
        <v>-12.606692984214419</v>
      </c>
      <c r="AA478" s="150">
        <f t="shared" si="246"/>
        <v>56561.5</v>
      </c>
      <c r="AB478" s="150">
        <f t="shared" si="247"/>
        <v>3199203282.25</v>
      </c>
      <c r="AD478" s="592">
        <f t="shared" si="248"/>
        <v>27.269031487151661</v>
      </c>
      <c r="AE478" s="593">
        <f t="shared" si="249"/>
        <v>-17.21363697891578</v>
      </c>
      <c r="AG478" s="592">
        <f t="shared" si="250"/>
        <v>-2.6346845136228847</v>
      </c>
      <c r="AH478" s="593">
        <f t="shared" si="251"/>
        <v>-99.565097508809799</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5">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1.5698202126332788</v>
      </c>
      <c r="N479" s="585">
        <f t="shared" si="238"/>
        <v>-0.88017582067253675</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-3.3265911181690107</v>
      </c>
      <c r="X479" s="590">
        <f t="shared" si="244"/>
        <v>-193.03656576929978</v>
      </c>
      <c r="Y479" s="593">
        <f t="shared" si="245"/>
        <v>-13.036565769299784</v>
      </c>
      <c r="AA479" s="150">
        <f t="shared" si="246"/>
        <v>56889</v>
      </c>
      <c r="AB479" s="150">
        <f t="shared" si="247"/>
        <v>3236358321</v>
      </c>
      <c r="AD479" s="592">
        <f t="shared" si="248"/>
        <v>27.265233620594188</v>
      </c>
      <c r="AE479" s="593">
        <f t="shared" si="249"/>
        <v>-17.293138374610855</v>
      </c>
      <c r="AG479" s="592">
        <f t="shared" si="250"/>
        <v>-2.6421349668070708</v>
      </c>
      <c r="AH479" s="593">
        <f t="shared" si="251"/>
        <v>-99.531461497651051</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5">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1.5751964560371428</v>
      </c>
      <c r="N480" s="585">
        <f t="shared" si="238"/>
        <v>-0.88299303074140867</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-3.3634528047204801</v>
      </c>
      <c r="X480" s="590">
        <f t="shared" si="244"/>
        <v>-193.46489919336261</v>
      </c>
      <c r="Y480" s="593">
        <f t="shared" si="245"/>
        <v>-13.464899193362612</v>
      </c>
      <c r="AA480" s="150">
        <f t="shared" si="246"/>
        <v>57216.5</v>
      </c>
      <c r="AB480" s="150">
        <f t="shared" si="247"/>
        <v>3273727872.25</v>
      </c>
      <c r="AD480" s="592">
        <f t="shared" si="248"/>
        <v>27.261417753419529</v>
      </c>
      <c r="AE480" s="593">
        <f t="shared" si="249"/>
        <v>-17.372652295516772</v>
      </c>
      <c r="AG480" s="592">
        <f t="shared" si="250"/>
        <v>-2.6492894423777975</v>
      </c>
      <c r="AH480" s="593">
        <f t="shared" si="251"/>
        <v>-99.497024618682062</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5">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1.5805851161538409</v>
      </c>
      <c r="N481" s="585">
        <f t="shared" si="238"/>
        <v>-0.88579105356519472</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-3.4001207827843096</v>
      </c>
      <c r="X481" s="590">
        <f t="shared" si="244"/>
        <v>-193.89170149830508</v>
      </c>
      <c r="Y481" s="593">
        <f t="shared" si="245"/>
        <v>-13.891701498305082</v>
      </c>
      <c r="AA481" s="150">
        <f t="shared" si="246"/>
        <v>57544</v>
      </c>
      <c r="AB481" s="150">
        <f t="shared" si="247"/>
        <v>3311311936</v>
      </c>
      <c r="AD481" s="592">
        <f t="shared" si="248"/>
        <v>27.257583926143866</v>
      </c>
      <c r="AE481" s="593">
        <f t="shared" si="249"/>
        <v>-17.452176929455408</v>
      </c>
      <c r="AG481" s="592">
        <f t="shared" si="250"/>
        <v>-2.6561523312412376</v>
      </c>
      <c r="AH481" s="593">
        <f t="shared" si="251"/>
        <v>-99.461796669639497</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5">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1.5861098952622177</v>
      </c>
      <c r="N482" s="585">
        <f t="shared" si="238"/>
        <v>-0.88863346031016921</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-3.4374317151872265</v>
      </c>
      <c r="X482" s="590">
        <f t="shared" si="244"/>
        <v>-194.32670235642846</v>
      </c>
      <c r="Y482" s="593">
        <f t="shared" si="245"/>
        <v>-14.326702356428456</v>
      </c>
      <c r="AA482" s="150">
        <f t="shared" si="246"/>
        <v>57879</v>
      </c>
      <c r="AB482" s="150">
        <f t="shared" si="247"/>
        <v>3349978641</v>
      </c>
      <c r="AD482" s="592">
        <f t="shared" si="248"/>
        <v>27.253643762238639</v>
      </c>
      <c r="AE482" s="593">
        <f t="shared" si="249"/>
        <v>-17.533531970643995</v>
      </c>
      <c r="AG482" s="592">
        <f t="shared" si="250"/>
        <v>-2.6628752039319696</v>
      </c>
      <c r="AH482" s="593">
        <f t="shared" si="251"/>
        <v>-99.424953635126869</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5">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1.591647399968374</v>
      </c>
      <c r="N483" s="585">
        <f t="shared" si="238"/>
        <v>-0.89145611167846306</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-3.4745472852918597</v>
      </c>
      <c r="X483" s="590">
        <f t="shared" si="244"/>
        <v>-194.76011854329678</v>
      </c>
      <c r="Y483" s="593">
        <f t="shared" si="245"/>
        <v>-14.760118543296784</v>
      </c>
      <c r="AA483" s="150">
        <f t="shared" si="246"/>
        <v>58214</v>
      </c>
      <c r="AB483" s="150">
        <f t="shared" si="247"/>
        <v>3388869796</v>
      </c>
      <c r="AD483" s="592">
        <f t="shared" si="248"/>
        <v>27.249684893373729</v>
      </c>
      <c r="AE483" s="593">
        <f t="shared" si="249"/>
        <v>-17.614894499909294</v>
      </c>
      <c r="AG483" s="592">
        <f t="shared" si="250"/>
        <v>-2.6693020341565377</v>
      </c>
      <c r="AH483" s="593">
        <f t="shared" si="251"/>
        <v>-99.387303312859899</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5">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1.5971974979128714</v>
      </c>
      <c r="N484" s="585">
        <f t="shared" si="238"/>
        <v>-0.89425916840108077</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-3.5114710802540205</v>
      </c>
      <c r="X484" s="590">
        <f t="shared" si="244"/>
        <v>-195.19195881037325</v>
      </c>
      <c r="Y484" s="593">
        <f t="shared" si="245"/>
        <v>-15.191958810373251</v>
      </c>
      <c r="AA484" s="150">
        <f t="shared" si="246"/>
        <v>58549</v>
      </c>
      <c r="AB484" s="150">
        <f t="shared" si="247"/>
        <v>3427985401</v>
      </c>
      <c r="AD484" s="592">
        <f t="shared" si="248"/>
        <v>27.245707364309744</v>
      </c>
      <c r="AE484" s="593">
        <f t="shared" si="249"/>
        <v>-17.69626269165655</v>
      </c>
      <c r="AG484" s="592">
        <f t="shared" si="250"/>
        <v>-2.675437279929632</v>
      </c>
      <c r="AH484" s="593">
        <f t="shared" si="251"/>
        <v>-99.348855877018281</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5">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1.602760058270694</v>
      </c>
      <c r="N485" s="585">
        <f t="shared" si="238"/>
        <v>-0.89704279021693567</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-3.5482066127028435</v>
      </c>
      <c r="X485" s="590">
        <f t="shared" si="244"/>
        <v>-195.6222318833301</v>
      </c>
      <c r="Y485" s="593">
        <f t="shared" si="245"/>
        <v>-15.622231883330102</v>
      </c>
      <c r="AA485" s="150">
        <f t="shared" si="246"/>
        <v>58884</v>
      </c>
      <c r="AB485" s="150">
        <f t="shared" si="247"/>
        <v>3467325456</v>
      </c>
      <c r="AD485" s="592">
        <f t="shared" si="248"/>
        <v>27.241711220252377</v>
      </c>
      <c r="AE485" s="593">
        <f t="shared" si="249"/>
        <v>-17.777634756679781</v>
      </c>
      <c r="AG485" s="592">
        <f t="shared" si="250"/>
        <v>-2.6812853212193826</v>
      </c>
      <c r="AH485" s="593">
        <f t="shared" si="251"/>
        <v>-99.309621397246673</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5">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1.6084682332397495</v>
      </c>
      <c r="N486" s="585">
        <f t="shared" si="238"/>
        <v>-0.89987291572993378</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-3.5856279435795657</v>
      </c>
      <c r="X486" s="590">
        <f t="shared" si="244"/>
        <v>-196.06116543932993</v>
      </c>
      <c r="Y486" s="593">
        <f t="shared" si="245"/>
        <v>-16.061165439329926</v>
      </c>
      <c r="AA486" s="150">
        <f t="shared" si="246"/>
        <v>59227</v>
      </c>
      <c r="AB486" s="150">
        <f t="shared" si="247"/>
        <v>3507837529</v>
      </c>
      <c r="AD486" s="592">
        <f t="shared" si="248"/>
        <v>27.237600406447502</v>
      </c>
      <c r="AE486" s="593">
        <f t="shared" si="249"/>
        <v>-17.86095221696727</v>
      </c>
      <c r="AG486" s="592">
        <f t="shared" si="250"/>
        <v>-2.6869799368896796</v>
      </c>
      <c r="AH486" s="593">
        <f t="shared" si="251"/>
        <v>-99.26864492056805</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5">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1.6141892002363429</v>
      </c>
      <c r="N487" s="585">
        <f t="shared" si="238"/>
        <v>-0.902683002704879</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-3.6228591335091154</v>
      </c>
      <c r="X487" s="590">
        <f t="shared" si="244"/>
        <v>-196.49847448226782</v>
      </c>
      <c r="Y487" s="593">
        <f t="shared" si="245"/>
        <v>-16.498474482267824</v>
      </c>
      <c r="AA487" s="150">
        <f t="shared" si="246"/>
        <v>59570</v>
      </c>
      <c r="AB487" s="150">
        <f t="shared" si="247"/>
        <v>3548584900</v>
      </c>
      <c r="AD487" s="592">
        <f t="shared" si="248"/>
        <v>27.233470175248996</v>
      </c>
      <c r="AE487" s="593">
        <f t="shared" si="249"/>
        <v>-17.944270054330424</v>
      </c>
      <c r="AG487" s="592">
        <f t="shared" si="250"/>
        <v>-2.6923825163269859</v>
      </c>
      <c r="AH487" s="593">
        <f t="shared" si="251"/>
        <v>-99.226864391639054</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5">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1.6199228237303807</v>
      </c>
      <c r="N488" s="585">
        <f t="shared" si="238"/>
        <v>-0.90547321930149549</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-3.6599037208781162</v>
      </c>
      <c r="X488" s="590">
        <f t="shared" si="244"/>
        <v>-196.9341682871713</v>
      </c>
      <c r="Y488" s="593">
        <f t="shared" si="245"/>
        <v>-16.934168287171303</v>
      </c>
      <c r="AA488" s="150">
        <f t="shared" si="246"/>
        <v>59913</v>
      </c>
      <c r="AB488" s="150">
        <f t="shared" si="247"/>
        <v>3589567569</v>
      </c>
      <c r="AD488" s="592">
        <f t="shared" si="248"/>
        <v>27.229320576550315</v>
      </c>
      <c r="AE488" s="593">
        <f t="shared" si="249"/>
        <v>-18.027586460657712</v>
      </c>
      <c r="AG488" s="592">
        <f t="shared" si="250"/>
        <v>-2.6974975170754947</v>
      </c>
      <c r="AH488" s="593">
        <f t="shared" si="251"/>
        <v>-99.184290280900797</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5">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1.62566896980606</v>
      </c>
      <c r="N489" s="585">
        <f t="shared" si="238"/>
        <v>-0.90824373254741797</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-3.6967651693793595</v>
      </c>
      <c r="X489" s="590">
        <f t="shared" si="244"/>
        <v>-197.3682560963299</v>
      </c>
      <c r="Y489" s="593">
        <f t="shared" si="245"/>
        <v>-17.368256096329901</v>
      </c>
      <c r="AA489" s="150">
        <f t="shared" si="246"/>
        <v>60256</v>
      </c>
      <c r="AB489" s="150">
        <f t="shared" si="247"/>
        <v>3630785536</v>
      </c>
      <c r="AD489" s="592">
        <f t="shared" si="248"/>
        <v>27.225151660681959</v>
      </c>
      <c r="AE489" s="593">
        <f t="shared" si="249"/>
        <v>-18.110899663747073</v>
      </c>
      <c r="AG489" s="592">
        <f t="shared" si="250"/>
        <v>-2.7023293178899617</v>
      </c>
      <c r="AH489" s="593">
        <f t="shared" si="251"/>
        <v>-99.140932945768938</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5">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1.6315619628368454</v>
      </c>
      <c r="N490" s="585">
        <f t="shared" si="238"/>
        <v>-0.91105863920202623</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-3.734300301360038</v>
      </c>
      <c r="X490" s="590">
        <f t="shared" si="244"/>
        <v>-197.81081539063732</v>
      </c>
      <c r="Y490" s="593">
        <f t="shared" si="245"/>
        <v>-17.810815390637316</v>
      </c>
      <c r="AA490" s="150">
        <f t="shared" si="246"/>
        <v>60607</v>
      </c>
      <c r="AB490" s="150">
        <f t="shared" si="247"/>
        <v>3673208449</v>
      </c>
      <c r="AD490" s="592">
        <f t="shared" si="248"/>
        <v>27.220865565337071</v>
      </c>
      <c r="AE490" s="593">
        <f t="shared" si="249"/>
        <v>-18.196150903482867</v>
      </c>
      <c r="AG490" s="592">
        <f t="shared" si="250"/>
        <v>-2.7069851163821297</v>
      </c>
      <c r="AH490" s="593">
        <f t="shared" si="251"/>
        <v>-99.095764209868321</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5">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1.6374677907630029</v>
      </c>
      <c r="N491" s="585">
        <f t="shared" si="238"/>
        <v>-0.91385326291330438</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-3.7716507585954751</v>
      </c>
      <c r="X491" s="590">
        <f t="shared" si="244"/>
        <v>-198.25171237377666</v>
      </c>
      <c r="Y491" s="593">
        <f t="shared" si="245"/>
        <v>-18.251712373776655</v>
      </c>
      <c r="AA491" s="150">
        <f t="shared" si="246"/>
        <v>60958</v>
      </c>
      <c r="AB491" s="150">
        <f t="shared" si="247"/>
        <v>3715877764</v>
      </c>
      <c r="AD491" s="592">
        <f t="shared" si="248"/>
        <v>27.216559349212183</v>
      </c>
      <c r="AE491" s="593">
        <f t="shared" si="249"/>
        <v>-18.281395144981399</v>
      </c>
      <c r="AG491" s="592">
        <f t="shared" si="250"/>
        <v>-2.7113533825367075</v>
      </c>
      <c r="AH491" s="593">
        <f t="shared" si="251"/>
        <v>-99.049796873396048</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5">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1.64338631521047</v>
      </c>
      <c r="N492" s="585">
        <f t="shared" si="238"/>
        <v>-0.91662777893577729</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-3.8088200209439322</v>
      </c>
      <c r="X492" s="590">
        <f t="shared" si="244"/>
        <v>-198.69095683725837</v>
      </c>
      <c r="Y492" s="593">
        <f t="shared" si="245"/>
        <v>-18.690956837258369</v>
      </c>
      <c r="AA492" s="150">
        <f t="shared" si="246"/>
        <v>61309</v>
      </c>
      <c r="AB492" s="150">
        <f t="shared" si="247"/>
        <v>3758793481</v>
      </c>
      <c r="AD492" s="592">
        <f t="shared" si="248"/>
        <v>27.212233067585746</v>
      </c>
      <c r="AE492" s="593">
        <f t="shared" si="249"/>
        <v>-18.366630599834615</v>
      </c>
      <c r="AG492" s="592">
        <f t="shared" si="250"/>
        <v>-2.7154385631454598</v>
      </c>
      <c r="AH492" s="593">
        <f t="shared" si="251"/>
        <v>-99.003041671403253</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5">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1.6493173994960308</v>
      </c>
      <c r="N493" s="585">
        <f t="shared" si="238"/>
        <v>-0.91938236124945971</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-3.845811493656075</v>
      </c>
      <c r="X493" s="590">
        <f t="shared" si="244"/>
        <v>-199.12855853269053</v>
      </c>
      <c r="Y493" s="593">
        <f t="shared" si="245"/>
        <v>-19.128558532690533</v>
      </c>
      <c r="AA493" s="150">
        <f t="shared" si="246"/>
        <v>61660</v>
      </c>
      <c r="AB493" s="150">
        <f t="shared" si="247"/>
        <v>3801955600</v>
      </c>
      <c r="AD493" s="592">
        <f t="shared" si="248"/>
        <v>27.207886776164131</v>
      </c>
      <c r="AE493" s="593">
        <f t="shared" si="249"/>
        <v>-18.451855515020902</v>
      </c>
      <c r="AG493" s="592">
        <f t="shared" si="250"/>
        <v>-2.7192450256774259</v>
      </c>
      <c r="AH493" s="593">
        <f t="shared" si="251"/>
        <v>-98.955509217411546</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5">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1.6553965169720715</v>
      </c>
      <c r="N494" s="585">
        <f t="shared" si="238"/>
        <v>-0.92217928568321839</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-3.8834656356954618</v>
      </c>
      <c r="X494" s="590">
        <f t="shared" si="244"/>
        <v>-199.5744448196057</v>
      </c>
      <c r="Y494" s="593">
        <f t="shared" si="245"/>
        <v>-19.574444819605702</v>
      </c>
      <c r="AA494" s="150">
        <f t="shared" si="246"/>
        <v>62019</v>
      </c>
      <c r="AB494" s="150">
        <f t="shared" si="247"/>
        <v>3846356361</v>
      </c>
      <c r="AD494" s="592">
        <f t="shared" si="248"/>
        <v>27.203420783380395</v>
      </c>
      <c r="AE494" s="593">
        <f t="shared" si="249"/>
        <v>-18.539010184613829</v>
      </c>
      <c r="AG494" s="592">
        <f t="shared" si="250"/>
        <v>-2.7228543967573056</v>
      </c>
      <c r="AH494" s="593">
        <f t="shared" si="251"/>
        <v>-98.906100311892345</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5">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1.6614884894399018</v>
      </c>
      <c r="N495" s="585">
        <f t="shared" si="238"/>
        <v>-0.92495572143658</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-3.9209407655359092</v>
      </c>
      <c r="X495" s="590">
        <f t="shared" si="244"/>
        <v>-200.01863310447308</v>
      </c>
      <c r="Y495" s="593">
        <f t="shared" si="245"/>
        <v>-20.018633104473082</v>
      </c>
      <c r="AA495" s="150">
        <f t="shared" si="246"/>
        <v>62378</v>
      </c>
      <c r="AB495" s="150">
        <f t="shared" si="247"/>
        <v>3891014884</v>
      </c>
      <c r="AD495" s="592">
        <f t="shared" si="248"/>
        <v>27.198933977476042</v>
      </c>
      <c r="AE495" s="593">
        <f t="shared" si="249"/>
        <v>-18.626150228509573</v>
      </c>
      <c r="AG495" s="592">
        <f t="shared" si="250"/>
        <v>-2.7261811948233365</v>
      </c>
      <c r="AH495" s="593">
        <f t="shared" si="251"/>
        <v>-98.855900392746861</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5">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1.6675931760157856</v>
      </c>
      <c r="N496" s="585">
        <f t="shared" si="238"/>
        <v>-0.92771185048277338</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-3.9582402955545564</v>
      </c>
      <c r="X496" s="590">
        <f t="shared" si="244"/>
        <v>-200.4611336859208</v>
      </c>
      <c r="Y496" s="593">
        <f t="shared" si="245"/>
        <v>-20.4611336859208</v>
      </c>
      <c r="AA496" s="150">
        <f t="shared" si="246"/>
        <v>62737</v>
      </c>
      <c r="AB496" s="150">
        <f t="shared" si="247"/>
        <v>3935931169</v>
      </c>
      <c r="AD496" s="592">
        <f t="shared" si="248"/>
        <v>27.194426419366099</v>
      </c>
      <c r="AE496" s="593">
        <f t="shared" si="249"/>
        <v>-18.713273880016004</v>
      </c>
      <c r="AG496" s="592">
        <f t="shared" si="250"/>
        <v>-2.729229846135615</v>
      </c>
      <c r="AH496" s="593">
        <f t="shared" si="251"/>
        <v>-98.804920425727246</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5">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1.6737104375795258</v>
      </c>
      <c r="N497" s="585">
        <f t="shared" si="238"/>
        <v>-0.93044785337699054</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-3.9953675638536703</v>
      </c>
      <c r="X497" s="590">
        <f t="shared" si="244"/>
        <v>-200.9019568153565</v>
      </c>
      <c r="Y497" s="593">
        <f t="shared" si="245"/>
        <v>-20.901956815356499</v>
      </c>
      <c r="AA497" s="150">
        <f t="shared" si="246"/>
        <v>63096</v>
      </c>
      <c r="AB497" s="150">
        <f t="shared" si="247"/>
        <v>3981105216</v>
      </c>
      <c r="AD497" s="592">
        <f t="shared" si="248"/>
        <v>27.189898170383159</v>
      </c>
      <c r="AE497" s="593">
        <f t="shared" si="249"/>
        <v>-18.800379407270501</v>
      </c>
      <c r="AG497" s="592">
        <f t="shared" si="250"/>
        <v>-2.7320046973021661</v>
      </c>
      <c r="AH497" s="593">
        <f t="shared" si="251"/>
        <v>-98.75317124662061</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5">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1.6799811454301494</v>
      </c>
      <c r="N498" s="585">
        <f t="shared" si="238"/>
        <v>-0.93322609252630584</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-4.0331731946566984</v>
      </c>
      <c r="X498" s="590">
        <f t="shared" si="244"/>
        <v>-201.351185201774</v>
      </c>
      <c r="Y498" s="593">
        <f t="shared" si="245"/>
        <v>-21.351185201774001</v>
      </c>
      <c r="AA498" s="150">
        <f t="shared" si="246"/>
        <v>63463.25</v>
      </c>
      <c r="AB498" s="150">
        <f t="shared" si="247"/>
        <v>4027584100.5625</v>
      </c>
      <c r="AD498" s="592">
        <f t="shared" si="248"/>
        <v>27.185244514776208</v>
      </c>
      <c r="AE498" s="593">
        <f t="shared" si="249"/>
        <v>-18.889466139247858</v>
      </c>
      <c r="AG498" s="592">
        <f t="shared" si="250"/>
        <v>-2.7345644556975977</v>
      </c>
      <c r="AH498" s="593">
        <f t="shared" si="251"/>
        <v>-98.6994480775314</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5">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1.6862647239049497</v>
      </c>
      <c r="N499" s="585">
        <f t="shared" si="238"/>
        <v>-0.93598364755763785</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-4.0708053917913816</v>
      </c>
      <c r="X499" s="590">
        <f t="shared" si="244"/>
        <v>-201.79867970091391</v>
      </c>
      <c r="Y499" s="593">
        <f t="shared" si="245"/>
        <v>-21.798679700913908</v>
      </c>
      <c r="AA499" s="150">
        <f t="shared" si="246"/>
        <v>63830.5</v>
      </c>
      <c r="AB499" s="150">
        <f t="shared" si="247"/>
        <v>4074332730.25</v>
      </c>
      <c r="AD499" s="592">
        <f t="shared" si="248"/>
        <v>27.180569337525927</v>
      </c>
      <c r="AE499" s="593">
        <f t="shared" si="249"/>
        <v>-18.978530345730132</v>
      </c>
      <c r="AG499" s="592">
        <f t="shared" si="250"/>
        <v>-2.7368466391608788</v>
      </c>
      <c r="AH499" s="593">
        <f t="shared" si="251"/>
        <v>-98.644942463135393</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5">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1.6925610296585953</v>
      </c>
      <c r="N500" s="585">
        <f t="shared" si="238"/>
        <v>-0.93872070713303624</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-4.1082674987916956</v>
      </c>
      <c r="X500" s="590">
        <f t="shared" si="244"/>
        <v>-202.24445112909936</v>
      </c>
      <c r="Y500" s="593">
        <f t="shared" si="245"/>
        <v>-22.24445112909936</v>
      </c>
      <c r="AA500" s="150">
        <f t="shared" si="246"/>
        <v>64197.75</v>
      </c>
      <c r="AB500" s="150">
        <f t="shared" si="247"/>
        <v>4121351105.0625</v>
      </c>
      <c r="AD500" s="592">
        <f t="shared" si="248"/>
        <v>27.175872705571258</v>
      </c>
      <c r="AE500" s="593">
        <f t="shared" si="249"/>
        <v>-19.067570280045512</v>
      </c>
      <c r="AG500" s="592">
        <f t="shared" si="250"/>
        <v>-2.7388556530830979</v>
      </c>
      <c r="AH500" s="593">
        <f t="shared" si="251"/>
        <v>-98.589665586752346</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5">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1.6988699211826026</v>
      </c>
      <c r="N501" s="585">
        <f t="shared" si="238"/>
        <v>-0.94143745834893211</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-4.1455627852885231</v>
      </c>
      <c r="X501" s="590">
        <f t="shared" si="244"/>
        <v>-202.68851024787443</v>
      </c>
      <c r="Y501" s="593">
        <f t="shared" si="245"/>
        <v>-22.688510247874433</v>
      </c>
      <c r="AA501" s="150">
        <f t="shared" si="246"/>
        <v>64565</v>
      </c>
      <c r="AB501" s="150">
        <f t="shared" si="247"/>
        <v>4168639225</v>
      </c>
      <c r="AD501" s="592">
        <f t="shared" si="248"/>
        <v>27.171154686258081</v>
      </c>
      <c r="AE501" s="593">
        <f t="shared" si="249"/>
        <v>-19.156584229862251</v>
      </c>
      <c r="AG501" s="592">
        <f t="shared" si="250"/>
        <v>-2.7405958228552962</v>
      </c>
      <c r="AH501" s="593">
        <f t="shared" si="251"/>
        <v>-98.533628493075724</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5">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1.7053420199389062</v>
      </c>
      <c r="N502" s="585">
        <f t="shared" si="238"/>
        <v>-0.94419809196418569</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-4.1835771680338736</v>
      </c>
      <c r="X502" s="590">
        <f t="shared" si="244"/>
        <v>-203.14138658867844</v>
      </c>
      <c r="Y502" s="593">
        <f t="shared" si="245"/>
        <v>-23.141386588678444</v>
      </c>
      <c r="AA502" s="150">
        <f t="shared" si="246"/>
        <v>64941</v>
      </c>
      <c r="AB502" s="150">
        <f t="shared" si="247"/>
        <v>4217333481</v>
      </c>
      <c r="AD502" s="592">
        <f t="shared" si="248"/>
        <v>27.166302169639998</v>
      </c>
      <c r="AE502" s="593">
        <f t="shared" si="249"/>
        <v>-19.247690328688346</v>
      </c>
      <c r="AG502" s="592">
        <f t="shared" si="250"/>
        <v>-2.7421033594384276</v>
      </c>
      <c r="AH502" s="593">
        <f t="shared" si="251"/>
        <v>-98.475480061303458</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5">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1.7118270169409895</v>
      </c>
      <c r="N503" s="585">
        <f t="shared" si="238"/>
        <v>-0.9469378298443023</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-4.2214233927729996</v>
      </c>
      <c r="X503" s="590">
        <f t="shared" si="244"/>
        <v>-203.59249070502457</v>
      </c>
      <c r="Y503" s="593">
        <f t="shared" si="245"/>
        <v>-23.592490705024574</v>
      </c>
      <c r="AA503" s="150">
        <f t="shared" si="246"/>
        <v>65317</v>
      </c>
      <c r="AB503" s="150">
        <f t="shared" si="247"/>
        <v>4266310489</v>
      </c>
      <c r="AD503" s="592">
        <f t="shared" si="248"/>
        <v>27.161427378508343</v>
      </c>
      <c r="AE503" s="593">
        <f t="shared" si="249"/>
        <v>-19.338765664016154</v>
      </c>
      <c r="AG503" s="592">
        <f t="shared" si="250"/>
        <v>-2.7433380147983053</v>
      </c>
      <c r="AH503" s="593">
        <f t="shared" si="251"/>
        <v>-98.416557744606834</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5">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1.7183247661540344</v>
      </c>
      <c r="N504" s="585">
        <f t="shared" si="238"/>
        <v>-0.94965686767383206</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-4.2591047390668431</v>
      </c>
      <c r="X504" s="590">
        <f t="shared" si="244"/>
        <v>-204.04183396363806</v>
      </c>
      <c r="Y504" s="593">
        <f t="shared" si="245"/>
        <v>-24.041833963638055</v>
      </c>
      <c r="AA504" s="150">
        <f t="shared" si="246"/>
        <v>65693</v>
      </c>
      <c r="AB504" s="150">
        <f t="shared" si="247"/>
        <v>4315570249</v>
      </c>
      <c r="AD504" s="592">
        <f t="shared" si="248"/>
        <v>27.156530386387775</v>
      </c>
      <c r="AE504" s="593">
        <f t="shared" si="249"/>
        <v>-19.429808504385107</v>
      </c>
      <c r="AG504" s="592">
        <f t="shared" si="250"/>
        <v>-2.7443041813662168</v>
      </c>
      <c r="AH504" s="593">
        <f t="shared" si="251"/>
        <v>-98.356872950960167</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5">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1.7248351234587604</v>
      </c>
      <c r="N505" s="585">
        <f t="shared" si="238"/>
        <v>-0.95235539941590319</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-4.2966244128028146</v>
      </c>
      <c r="X505" s="590">
        <f t="shared" si="244"/>
        <v>-204.48942766850689</v>
      </c>
      <c r="Y505" s="593">
        <f t="shared" si="245"/>
        <v>-24.489427668506892</v>
      </c>
      <c r="AA505" s="150">
        <f t="shared" si="246"/>
        <v>66069</v>
      </c>
      <c r="AB505" s="150">
        <f t="shared" si="247"/>
        <v>4365112761</v>
      </c>
      <c r="AD505" s="592">
        <f t="shared" si="248"/>
        <v>27.151611267199737</v>
      </c>
      <c r="AE505" s="593">
        <f t="shared" si="249"/>
        <v>-19.520817152337923</v>
      </c>
      <c r="AG505" s="592">
        <f t="shared" si="250"/>
        <v>-2.7450061710045919</v>
      </c>
      <c r="AH505" s="593">
        <f t="shared" si="251"/>
        <v>-98.296436940477534</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5">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1.7315098883411277</v>
      </c>
      <c r="N506" s="585">
        <f t="shared" si="238"/>
        <v>-0.95509570253147136</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-4.3348531263994223</v>
      </c>
      <c r="X506" s="590">
        <f t="shared" si="244"/>
        <v>-204.94563807731072</v>
      </c>
      <c r="Y506" s="593">
        <f t="shared" si="245"/>
        <v>-24.945638077310718</v>
      </c>
      <c r="AA506" s="150">
        <f t="shared" si="246"/>
        <v>66453.75</v>
      </c>
      <c r="AB506" s="150">
        <f t="shared" si="247"/>
        <v>4416100889.0625</v>
      </c>
      <c r="AD506" s="592">
        <f t="shared" si="248"/>
        <v>27.146554845901086</v>
      </c>
      <c r="AE506" s="593">
        <f t="shared" si="249"/>
        <v>-19.613906556449702</v>
      </c>
      <c r="AG506" s="592">
        <f t="shared" si="250"/>
        <v>-2.7454554422349253</v>
      </c>
      <c r="AH506" s="593">
        <f t="shared" si="251"/>
        <v>-98.23382845668975</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5">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1.7381975556673392</v>
      </c>
      <c r="N507" s="585">
        <f t="shared" si="238"/>
        <v>-0.95781493945401952</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-4.3729191184000724</v>
      </c>
      <c r="X507" s="590">
        <f t="shared" si="244"/>
        <v>-205.40004030074465</v>
      </c>
      <c r="Y507" s="593">
        <f t="shared" si="245"/>
        <v>-25.400040300744649</v>
      </c>
      <c r="AA507" s="150">
        <f t="shared" si="246"/>
        <v>66838.5</v>
      </c>
      <c r="AB507" s="150">
        <f t="shared" si="247"/>
        <v>4467385082.25</v>
      </c>
      <c r="AD507" s="592">
        <f t="shared" si="248"/>
        <v>27.141475413528507</v>
      </c>
      <c r="AE507" s="593">
        <f t="shared" si="249"/>
        <v>-19.706956667441393</v>
      </c>
      <c r="AG507" s="592">
        <f t="shared" si="250"/>
        <v>-2.7456369819212965</v>
      </c>
      <c r="AH507" s="593">
        <f t="shared" si="251"/>
        <v>-98.170456771558889</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5">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1.7448979770838819</v>
      </c>
      <c r="N508" s="585">
        <f t="shared" si="238"/>
        <v>-0.96051331242096105</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-4.4108255956824705</v>
      </c>
      <c r="X508" s="590">
        <f t="shared" si="244"/>
        <v>-205.8526462432834</v>
      </c>
      <c r="Y508" s="593">
        <f t="shared" si="245"/>
        <v>-25.852646243283402</v>
      </c>
      <c r="AA508" s="150">
        <f t="shared" si="246"/>
        <v>67223.25</v>
      </c>
      <c r="AB508" s="150">
        <f t="shared" si="247"/>
        <v>4518965340.5625</v>
      </c>
      <c r="AD508" s="592">
        <f t="shared" si="248"/>
        <v>27.136373050498964</v>
      </c>
      <c r="AE508" s="593">
        <f t="shared" si="249"/>
        <v>-19.799965771586411</v>
      </c>
      <c r="AG508" s="592">
        <f t="shared" si="250"/>
        <v>-2.7455551592391654</v>
      </c>
      <c r="AH508" s="593">
        <f t="shared" si="251"/>
        <v>-98.106333476662201</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5">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1.7516110062264489</v>
      </c>
      <c r="N509" s="585">
        <f t="shared" si="238"/>
        <v>-0.96319102179359195</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-4.4485756919464041</v>
      </c>
      <c r="X509" s="590">
        <f t="shared" si="244"/>
        <v>-206.30346773863275</v>
      </c>
      <c r="Y509" s="593">
        <f t="shared" si="245"/>
        <v>-26.303467738632747</v>
      </c>
      <c r="AA509" s="150">
        <f t="shared" si="246"/>
        <v>67608</v>
      </c>
      <c r="AB509" s="150">
        <f t="shared" si="247"/>
        <v>4570841664</v>
      </c>
      <c r="AD509" s="592">
        <f t="shared" si="248"/>
        <v>27.131247837613945</v>
      </c>
      <c r="AE509" s="593">
        <f t="shared" si="249"/>
        <v>-19.892932188790407</v>
      </c>
      <c r="AG509" s="592">
        <f t="shared" si="250"/>
        <v>-2.7452142624461242</v>
      </c>
      <c r="AH509" s="593">
        <f t="shared" si="251"/>
        <v>-98.041470006729497</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5">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1.7584939681795606</v>
      </c>
      <c r="N510" s="585">
        <f t="shared" si="238"/>
        <v>-0.96591018045637267</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-4.4870501154429991</v>
      </c>
      <c r="X510" s="590">
        <f t="shared" si="244"/>
        <v>-206.76299949148299</v>
      </c>
      <c r="Y510" s="593">
        <f t="shared" si="245"/>
        <v>-26.762999491482987</v>
      </c>
      <c r="AA510" s="150">
        <f t="shared" si="246"/>
        <v>68001.75</v>
      </c>
      <c r="AB510" s="150">
        <f t="shared" si="247"/>
        <v>4624238003.0625</v>
      </c>
      <c r="AD510" s="592">
        <f t="shared" si="248"/>
        <v>27.125979163554032</v>
      </c>
      <c r="AE510" s="593">
        <f t="shared" si="249"/>
        <v>-19.988027343958834</v>
      </c>
      <c r="AG510" s="592">
        <f t="shared" si="250"/>
        <v>-2.7446015475897827</v>
      </c>
      <c r="AH510" s="593">
        <f t="shared" si="251"/>
        <v>-97.974334682263873</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5">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1.7653898306862215</v>
      </c>
      <c r="N511" s="585">
        <f t="shared" si="238"/>
        <v>-0.96860811610058573</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-4.5253671700530465</v>
      </c>
      <c r="X511" s="590">
        <f t="shared" si="244"/>
        <v>-207.22068718676809</v>
      </c>
      <c r="Y511" s="593">
        <f t="shared" si="245"/>
        <v>-27.220687186768089</v>
      </c>
      <c r="AA511" s="150">
        <f t="shared" si="246"/>
        <v>68395.5</v>
      </c>
      <c r="AB511" s="150">
        <f t="shared" si="247"/>
        <v>4677944420.25</v>
      </c>
      <c r="AD511" s="592">
        <f t="shared" si="248"/>
        <v>27.120686730550403</v>
      </c>
      <c r="AE511" s="593">
        <f t="shared" si="249"/>
        <v>-20.08307433565308</v>
      </c>
      <c r="AG511" s="592">
        <f t="shared" si="250"/>
        <v>-2.7437263319059211</v>
      </c>
      <c r="AH511" s="593">
        <f t="shared" si="251"/>
        <v>-97.906447884489964</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5">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1.7722984431615683</v>
      </c>
      <c r="N512" s="585">
        <f t="shared" si="238"/>
        <v>-0.9712850374091162</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-4.5635299881054774</v>
      </c>
      <c r="X512" s="590">
        <f t="shared" si="244"/>
        <v>-207.6765432757046</v>
      </c>
      <c r="Y512" s="593">
        <f t="shared" si="245"/>
        <v>-27.676543275704603</v>
      </c>
      <c r="AA512" s="150">
        <f t="shared" si="246"/>
        <v>68789.25</v>
      </c>
      <c r="AB512" s="150">
        <f t="shared" si="247"/>
        <v>4731960915.5625</v>
      </c>
      <c r="AD512" s="592">
        <f t="shared" si="248"/>
        <v>27.115370626382486</v>
      </c>
      <c r="AE512" s="593">
        <f t="shared" si="249"/>
        <v>-20.178071467069476</v>
      </c>
      <c r="AG512" s="592">
        <f t="shared" si="250"/>
        <v>-2.742592959784278</v>
      </c>
      <c r="AH512" s="593">
        <f t="shared" si="251"/>
        <v>-97.837821368264443</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5">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1.779219657083317</v>
      </c>
      <c r="N513" s="585">
        <f t="shared" si="238"/>
        <v>-0.97394115103140577</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-4.6015416293194926</v>
      </c>
      <c r="X513" s="590">
        <f t="shared" si="244"/>
        <v>-208.13058013050275</v>
      </c>
      <c r="Y513" s="593">
        <f t="shared" si="245"/>
        <v>-28.13058013050275</v>
      </c>
      <c r="AA513" s="150">
        <f t="shared" si="246"/>
        <v>69183</v>
      </c>
      <c r="AB513" s="150">
        <f t="shared" si="247"/>
        <v>4786287489</v>
      </c>
      <c r="AD513" s="592">
        <f t="shared" si="248"/>
        <v>27.110030939200648</v>
      </c>
      <c r="AE513" s="593">
        <f t="shared" si="249"/>
        <v>-20.273017074723459</v>
      </c>
      <c r="AG513" s="592">
        <f t="shared" si="250"/>
        <v>-2.7412056943547936</v>
      </c>
      <c r="AH513" s="593">
        <f t="shared" si="251"/>
        <v>-97.768466722526014</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5">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1.7863163607095529</v>
      </c>
      <c r="N514" s="585">
        <f t="shared" si="238"/>
        <v>-0.97663832913014703</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-4.6402928155640275</v>
      </c>
      <c r="X514" s="590">
        <f t="shared" si="244"/>
        <v>-208.59341223418113</v>
      </c>
      <c r="Y514" s="593">
        <f t="shared" si="245"/>
        <v>-28.59341223418113</v>
      </c>
      <c r="AA514" s="150">
        <f t="shared" si="246"/>
        <v>69586</v>
      </c>
      <c r="AB514" s="150">
        <f t="shared" si="247"/>
        <v>4842211396</v>
      </c>
      <c r="AD514" s="592">
        <f t="shared" si="248"/>
        <v>27.104541483579077</v>
      </c>
      <c r="AE514" s="593">
        <f t="shared" si="249"/>
        <v>-20.370138095093484</v>
      </c>
      <c r="AG514" s="592">
        <f t="shared" si="250"/>
        <v>-2.7395272947841862</v>
      </c>
      <c r="AH514" s="593">
        <f t="shared" si="251"/>
        <v>-97.696740726688361</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5">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1.7934259564765798</v>
      </c>
      <c r="N515" s="585">
        <f t="shared" si="238"/>
        <v>-0.97931414196913813</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-4.678891899029721</v>
      </c>
      <c r="X515" s="590">
        <f t="shared" si="244"/>
        <v>-209.05436459529216</v>
      </c>
      <c r="Y515" s="593">
        <f t="shared" si="245"/>
        <v>-29.054364595292157</v>
      </c>
      <c r="AA515" s="150">
        <f t="shared" si="246"/>
        <v>69989</v>
      </c>
      <c r="AB515" s="150">
        <f t="shared" si="247"/>
        <v>4898460121</v>
      </c>
      <c r="AD515" s="592">
        <f t="shared" si="248"/>
        <v>27.099027511890622</v>
      </c>
      <c r="AE515" s="593">
        <f t="shared" si="249"/>
        <v>-20.467201719774113</v>
      </c>
      <c r="AG515" s="592">
        <f t="shared" si="250"/>
        <v>-2.7375917161827825</v>
      </c>
      <c r="AH515" s="593">
        <f t="shared" si="251"/>
        <v>-97.624276028266237</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5">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1.80054829166774</v>
      </c>
      <c r="N516" s="585">
        <f t="shared" si="238"/>
        <v>-0.98196880454319513</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-4.7173419355718522</v>
      </c>
      <c r="X516" s="590">
        <f t="shared" si="244"/>
        <v>-209.51345022020806</v>
      </c>
      <c r="Y516" s="593">
        <f t="shared" si="245"/>
        <v>-29.513450220208057</v>
      </c>
      <c r="AA516" s="150">
        <f t="shared" si="246"/>
        <v>70392</v>
      </c>
      <c r="AB516" s="150">
        <f t="shared" si="247"/>
        <v>4955033664</v>
      </c>
      <c r="AD516" s="592">
        <f t="shared" si="248"/>
        <v>27.093489119774596</v>
      </c>
      <c r="AE516" s="593">
        <f t="shared" si="249"/>
        <v>-20.564206268368931</v>
      </c>
      <c r="AG516" s="592">
        <f t="shared" si="250"/>
        <v>-2.7354032762738867</v>
      </c>
      <c r="AH516" s="593">
        <f t="shared" si="251"/>
        <v>-97.551084522743679</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5">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1.8076832157017073</v>
      </c>
      <c r="N517" s="585">
        <f t="shared" si="238"/>
        <v>-0.98460252965431361</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-4.7556459090857786</v>
      </c>
      <c r="X517" s="590">
        <f t="shared" si="244"/>
        <v>-209.97068202786497</v>
      </c>
      <c r="Y517" s="593">
        <f t="shared" si="245"/>
        <v>-29.970682027864967</v>
      </c>
      <c r="AA517" s="150">
        <f t="shared" si="246"/>
        <v>70795</v>
      </c>
      <c r="AB517" s="150">
        <f t="shared" si="247"/>
        <v>5011932025</v>
      </c>
      <c r="AD517" s="592">
        <f t="shared" si="248"/>
        <v>27.087926403225886</v>
      </c>
      <c r="AE517" s="593">
        <f t="shared" si="249"/>
        <v>-20.661150093543153</v>
      </c>
      <c r="AG517" s="592">
        <f t="shared" si="250"/>
        <v>-2.7329662111939528</v>
      </c>
      <c r="AH517" s="593">
        <f t="shared" si="251"/>
        <v>-97.477177930590059</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5">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1.8149947773947448</v>
      </c>
      <c r="N518" s="585">
        <f t="shared" si="238"/>
        <v>-0.98727526201408733</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-4.794680975246667</v>
      </c>
      <c r="X518" s="590">
        <f t="shared" si="244"/>
        <v>-210.43650385672112</v>
      </c>
      <c r="Y518" s="593">
        <f t="shared" si="245"/>
        <v>-30.436503856721117</v>
      </c>
      <c r="AA518" s="150">
        <f t="shared" si="246"/>
        <v>71207.25</v>
      </c>
      <c r="AB518" s="150">
        <f t="shared" si="247"/>
        <v>5070472452.5625</v>
      </c>
      <c r="AD518" s="592">
        <f t="shared" si="248"/>
        <v>27.082210938590912</v>
      </c>
      <c r="AE518" s="593">
        <f t="shared" si="249"/>
        <v>-20.760254542349852</v>
      </c>
      <c r="AG518" s="592">
        <f t="shared" si="250"/>
        <v>-2.7302202908406343</v>
      </c>
      <c r="AH518" s="593">
        <f t="shared" si="251"/>
        <v>-97.400847114577275</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5">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1.8223192004056523</v>
      </c>
      <c r="N519" s="585">
        <f t="shared" si="238"/>
        <v>-0.98992652823227933</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-4.8335692901122398</v>
      </c>
      <c r="X519" s="590">
        <f t="shared" si="244"/>
        <v>-210.90041285836693</v>
      </c>
      <c r="Y519" s="593">
        <f t="shared" si="245"/>
        <v>-30.900412858366934</v>
      </c>
      <c r="AA519" s="150">
        <f t="shared" si="246"/>
        <v>71619.5</v>
      </c>
      <c r="AB519" s="150">
        <f t="shared" si="247"/>
        <v>5129352780.25</v>
      </c>
      <c r="AD519" s="592">
        <f t="shared" si="248"/>
        <v>27.07647022437499</v>
      </c>
      <c r="AE519" s="593">
        <f t="shared" si="249"/>
        <v>-20.859292063428157</v>
      </c>
      <c r="AG519" s="592">
        <f t="shared" si="250"/>
        <v>-2.7272229147195985</v>
      </c>
      <c r="AH519" s="593">
        <f t="shared" si="251"/>
        <v>-97.323792266579744</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5">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1.8296563302763593</v>
      </c>
      <c r="N520" s="585">
        <f t="shared" si="238"/>
        <v>-0.99255654905634705</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-4.8723138257897682</v>
      </c>
      <c r="X520" s="590">
        <f t="shared" si="244"/>
        <v>-211.36242257757351</v>
      </c>
      <c r="Y520" s="593">
        <f t="shared" si="245"/>
        <v>-31.362422577573511</v>
      </c>
      <c r="AA520" s="150">
        <f t="shared" si="246"/>
        <v>72031.75</v>
      </c>
      <c r="AB520" s="150">
        <f t="shared" si="247"/>
        <v>5188573008.0625</v>
      </c>
      <c r="AD520" s="592">
        <f t="shared" si="248"/>
        <v>27.070704364412158</v>
      </c>
      <c r="AE520" s="593">
        <f t="shared" si="249"/>
        <v>-20.958260995566025</v>
      </c>
      <c r="AG520" s="592">
        <f t="shared" si="250"/>
        <v>-2.7239783639614328</v>
      </c>
      <c r="AH520" s="593">
        <f t="shared" si="251"/>
        <v>-97.246025376135108</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5">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1.8370060147506249</v>
      </c>
      <c r="N521" s="585">
        <f t="shared" si="238"/>
        <v>-0.9951655428858095</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-4.910917483336573</v>
      </c>
      <c r="X521" s="590">
        <f t="shared" si="244"/>
        <v>-211.82254646330466</v>
      </c>
      <c r="Y521" s="593">
        <f t="shared" si="245"/>
        <v>-31.822546463304661</v>
      </c>
      <c r="AA521" s="150">
        <f t="shared" si="246"/>
        <v>72444</v>
      </c>
      <c r="AB521" s="150">
        <f t="shared" si="247"/>
        <v>5248133136</v>
      </c>
      <c r="AD521" s="592">
        <f t="shared" si="248"/>
        <v>27.064913462873633</v>
      </c>
      <c r="AE521" s="593">
        <f t="shared" si="249"/>
        <v>-21.057159710330918</v>
      </c>
      <c r="AG521" s="592">
        <f t="shared" si="250"/>
        <v>-2.7204908380002299</v>
      </c>
      <c r="AH521" s="593">
        <f t="shared" si="251"/>
        <v>-97.167558249142772</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5">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1.8445379027415894</v>
      </c>
      <c r="N522" s="585">
        <f t="shared" si="238"/>
        <v>-0.99781312496224306</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-4.9502679013512294</v>
      </c>
      <c r="X522" s="590">
        <f t="shared" si="244"/>
        <v>-212.29133597100179</v>
      </c>
      <c r="Y522" s="593">
        <f t="shared" si="245"/>
        <v>-32.291335971001786</v>
      </c>
      <c r="AA522" s="150">
        <f t="shared" si="246"/>
        <v>72865.75</v>
      </c>
      <c r="AB522" s="150">
        <f t="shared" si="247"/>
        <v>5309417523.0625</v>
      </c>
      <c r="AD522" s="592">
        <f t="shared" si="248"/>
        <v>27.058963309387206</v>
      </c>
      <c r="AE522" s="593">
        <f t="shared" si="249"/>
        <v>-21.158263145971507</v>
      </c>
      <c r="AG522" s="592">
        <f t="shared" si="250"/>
        <v>-2.7166758013672583</v>
      </c>
      <c r="AH522" s="593">
        <f t="shared" si="251"/>
        <v>-97.086570397925556</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5">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1.852082615158128</v>
      </c>
      <c r="N523" s="585">
        <f t="shared" si="238"/>
        <v>-1.0004391547446172</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-4.9894767962634567</v>
      </c>
      <c r="X523" s="590">
        <f t="shared" si="244"/>
        <v>-212.75817989814377</v>
      </c>
      <c r="Y523" s="593">
        <f t="shared" si="245"/>
        <v>-32.758179898143766</v>
      </c>
      <c r="AA523" s="150">
        <f t="shared" si="246"/>
        <v>73287.5</v>
      </c>
      <c r="AB523" s="150">
        <f t="shared" si="247"/>
        <v>5371057656.25</v>
      </c>
      <c r="AD523" s="592">
        <f t="shared" si="248"/>
        <v>27.052987168492532</v>
      </c>
      <c r="AE523" s="593">
        <f t="shared" si="249"/>
        <v>-21.259289744409898</v>
      </c>
      <c r="AG523" s="592">
        <f t="shared" si="250"/>
        <v>-2.712615099767433</v>
      </c>
      <c r="AH523" s="593">
        <f t="shared" si="251"/>
        <v>-97.004874083020667</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5">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1.8596399959109997</v>
      </c>
      <c r="N524" s="585">
        <f t="shared" si="238"/>
        <v>-1.0030438585517587</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-5.028547055257607</v>
      </c>
      <c r="X524" s="590">
        <f t="shared" si="244"/>
        <v>-213.22309233450244</v>
      </c>
      <c r="Y524" s="593">
        <f t="shared" si="245"/>
        <v>-33.223092334502439</v>
      </c>
      <c r="AA524" s="150">
        <f t="shared" si="246"/>
        <v>73709.25</v>
      </c>
      <c r="AB524" s="150">
        <f t="shared" si="247"/>
        <v>5433053535.5625</v>
      </c>
      <c r="AD524" s="592">
        <f t="shared" si="248"/>
        <v>27.046985152745087</v>
      </c>
      <c r="AE524" s="593">
        <f t="shared" si="249"/>
        <v>-21.360237863429305</v>
      </c>
      <c r="AG524" s="592">
        <f t="shared" si="250"/>
        <v>-2.7083129758974671</v>
      </c>
      <c r="AH524" s="593">
        <f t="shared" si="251"/>
        <v>-96.922481362106566</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5">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1.8672098911780159</v>
      </c>
      <c r="N525" s="585">
        <f t="shared" ref="N525:N588" si="270">-ATAN(G525/z_RHP)</f>
        <v>-1.0056274601991191</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-5.067481495458221</v>
      </c>
      <c r="X525" s="590">
        <f t="shared" ref="X525:X588" si="276">((L525+R525+N525+V525)-(J525+P525+T525))*radconv</f>
        <v>-213.68608726554442</v>
      </c>
      <c r="Y525" s="593">
        <f t="shared" ref="Y525:Y588" si="277">IF(X525&gt;0,X525,X525+180)</f>
        <v>-33.686087265544415</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-2.7037735906631348</v>
      </c>
      <c r="AH525" s="593">
        <f t="shared" ref="AH525:AH588" si="283">(L525+N525-(J525+V525))*radconv</f>
        <v>-96.839404100707839</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5">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1.8749720790534004</v>
      </c>
      <c r="N526" s="585">
        <f t="shared" si="270"/>
        <v>-1.0082506933736521</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-5.1072012816348922</v>
      </c>
      <c r="X526" s="590">
        <f t="shared" si="276"/>
        <v>-214.15808839350785</v>
      </c>
      <c r="Y526" s="593">
        <f t="shared" si="277"/>
        <v>-34.158088393507853</v>
      </c>
      <c r="AA526" s="150">
        <f t="shared" si="278"/>
        <v>74562.75</v>
      </c>
      <c r="AB526" s="150">
        <f t="shared" si="279"/>
        <v>5559603687.5625</v>
      </c>
      <c r="AD526" s="592">
        <f t="shared" si="280"/>
        <v>27.03476010696809</v>
      </c>
      <c r="AE526" s="593">
        <f t="shared" si="281"/>
        <v>-21.564280970624036</v>
      </c>
      <c r="AG526" s="592">
        <f t="shared" si="282"/>
        <v>-2.6988850669270024</v>
      </c>
      <c r="AH526" s="593">
        <f t="shared" si="283"/>
        <v>-96.753660126135102</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5">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1.8827470628331076</v>
      </c>
      <c r="N527" s="585">
        <f t="shared" si="270"/>
        <v>-1.0108522785439131</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-5.1467844894484971</v>
      </c>
      <c r="X527" s="590">
        <f t="shared" si="276"/>
        <v>-214.62810933411663</v>
      </c>
      <c r="Y527" s="593">
        <f t="shared" si="277"/>
        <v>-34.62810933411663</v>
      </c>
      <c r="AA527" s="150">
        <f t="shared" si="278"/>
        <v>74994.5</v>
      </c>
      <c r="AB527" s="150">
        <f t="shared" si="279"/>
        <v>5624175030.25</v>
      </c>
      <c r="AD527" s="592">
        <f t="shared" si="280"/>
        <v>27.02853608112536</v>
      </c>
      <c r="AE527" s="593">
        <f t="shared" si="281"/>
        <v>-21.667368803233764</v>
      </c>
      <c r="AG527" s="592">
        <f t="shared" si="282"/>
        <v>-2.6937564668794565</v>
      </c>
      <c r="AH527" s="593">
        <f t="shared" si="283"/>
        <v>-96.667223321789152</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5">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1.8905346846444278</v>
      </c>
      <c r="N528" s="585">
        <f t="shared" si="270"/>
        <v>-1.0134324477970456</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-5.1862339248597786</v>
      </c>
      <c r="X528" s="590">
        <f t="shared" si="276"/>
        <v>-215.0961647536044</v>
      </c>
      <c r="Y528" s="593">
        <f t="shared" si="277"/>
        <v>-35.096164753604398</v>
      </c>
      <c r="AA528" s="150">
        <f t="shared" si="278"/>
        <v>75426.25</v>
      </c>
      <c r="AB528" s="150">
        <f t="shared" si="279"/>
        <v>5689119189.0625</v>
      </c>
      <c r="AD528" s="592">
        <f t="shared" si="280"/>
        <v>27.022285419528398</v>
      </c>
      <c r="AE528" s="593">
        <f t="shared" si="281"/>
        <v>-21.77036776532049</v>
      </c>
      <c r="AG528" s="592">
        <f t="shared" si="282"/>
        <v>-2.6883919998740007</v>
      </c>
      <c r="AH528" s="593">
        <f t="shared" si="283"/>
        <v>-96.580105806534988</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5">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1.8983347889507185</v>
      </c>
      <c r="N529" s="585">
        <f t="shared" si="270"/>
        <v>-1.01599143055555</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-5.2255523246882678</v>
      </c>
      <c r="X529" s="590">
        <f t="shared" si="276"/>
        <v>-215.56226920503119</v>
      </c>
      <c r="Y529" s="593">
        <f t="shared" si="277"/>
        <v>-35.562269205031185</v>
      </c>
      <c r="AA529" s="150">
        <f t="shared" si="278"/>
        <v>75858</v>
      </c>
      <c r="AB529" s="150">
        <f t="shared" si="279"/>
        <v>5754436164</v>
      </c>
      <c r="AD529" s="592">
        <f t="shared" si="280"/>
        <v>27.016008244509976</v>
      </c>
      <c r="AE529" s="593">
        <f t="shared" si="281"/>
        <v>-21.873276263470554</v>
      </c>
      <c r="AG529" s="592">
        <f t="shared" si="282"/>
        <v>-2.6827957932118744</v>
      </c>
      <c r="AH529" s="593">
        <f t="shared" si="283"/>
        <v>-96.492319498270589</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5">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1.9063283154774064</v>
      </c>
      <c r="N530" s="585">
        <f t="shared" si="270"/>
        <v>-1.0185879915964926</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-5.2656485603719645</v>
      </c>
      <c r="X530" s="590">
        <f t="shared" si="276"/>
        <v>-216.03716514692525</v>
      </c>
      <c r="Y530" s="593">
        <f t="shared" si="277"/>
        <v>-36.037165146925247</v>
      </c>
      <c r="AA530" s="150">
        <f t="shared" si="278"/>
        <v>76299.75</v>
      </c>
      <c r="AB530" s="150">
        <f t="shared" si="279"/>
        <v>5821651850.0625</v>
      </c>
      <c r="AD530" s="592">
        <f t="shared" si="280"/>
        <v>27.009558366592596</v>
      </c>
      <c r="AE530" s="593">
        <f t="shared" si="281"/>
        <v>-21.978473022321449</v>
      </c>
      <c r="AG530" s="592">
        <f t="shared" si="282"/>
        <v>-2.6768343373704342</v>
      </c>
      <c r="AH530" s="593">
        <f t="shared" si="283"/>
        <v>-96.401819937278759</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5">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1.9143345873296818</v>
      </c>
      <c r="N531" s="585">
        <f t="shared" si="270"/>
        <v>-1.02116285081707</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-5.3056132029137064</v>
      </c>
      <c r="X531" s="590">
        <f t="shared" si="276"/>
        <v>-216.51004916127087</v>
      </c>
      <c r="Y531" s="593">
        <f t="shared" si="277"/>
        <v>-36.510049161270871</v>
      </c>
      <c r="AA531" s="150">
        <f t="shared" si="278"/>
        <v>76741.5</v>
      </c>
      <c r="AB531" s="150">
        <f t="shared" si="279"/>
        <v>5889257822.25</v>
      </c>
      <c r="AD531" s="592">
        <f t="shared" si="280"/>
        <v>27.003080992825794</v>
      </c>
      <c r="AE531" s="593">
        <f t="shared" si="281"/>
        <v>-22.083571804138359</v>
      </c>
      <c r="AG531" s="592">
        <f t="shared" si="282"/>
        <v>-2.6706387689765343</v>
      </c>
      <c r="AH531" s="593">
        <f t="shared" si="283"/>
        <v>-96.310644852297983</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5">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1.9223534452612769</v>
      </c>
      <c r="N532" s="585">
        <f t="shared" si="270"/>
        <v>-1.0237162454400011</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-5.345448970828901</v>
      </c>
      <c r="X532" s="590">
        <f t="shared" si="276"/>
        <v>-216.98093647107993</v>
      </c>
      <c r="Y532" s="593">
        <f t="shared" si="277"/>
        <v>-36.980936471079929</v>
      </c>
      <c r="AA532" s="150">
        <f t="shared" si="278"/>
        <v>77183.25</v>
      </c>
      <c r="AB532" s="150">
        <f t="shared" si="279"/>
        <v>5957254080.5625</v>
      </c>
      <c r="AD532" s="592">
        <f t="shared" si="280"/>
        <v>26.996576255108302</v>
      </c>
      <c r="AE532" s="593">
        <f t="shared" si="281"/>
        <v>-22.188571002819543</v>
      </c>
      <c r="AG532" s="592">
        <f t="shared" si="282"/>
        <v>-2.6642132539486885</v>
      </c>
      <c r="AH532" s="593">
        <f t="shared" si="283"/>
        <v>-96.218806371973088</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5">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1.9303847324237002</v>
      </c>
      <c r="N533" s="585">
        <f t="shared" si="270"/>
        <v>-1.0262484098690487</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-5.3851585146694694</v>
      </c>
      <c r="X533" s="590">
        <f t="shared" si="276"/>
        <v>-217.44984217748012</v>
      </c>
      <c r="Y533" s="593">
        <f t="shared" si="277"/>
        <v>-37.449842177480122</v>
      </c>
      <c r="AA533" s="150">
        <f t="shared" si="278"/>
        <v>77625</v>
      </c>
      <c r="AB533" s="150">
        <f t="shared" si="279"/>
        <v>6025640625</v>
      </c>
      <c r="AD533" s="592">
        <f t="shared" si="280"/>
        <v>26.990044285603712</v>
      </c>
      <c r="AE533" s="593">
        <f t="shared" si="281"/>
        <v>-22.293469044612852</v>
      </c>
      <c r="AG533" s="592">
        <f t="shared" si="282"/>
        <v>-2.6575618761141619</v>
      </c>
      <c r="AH533" s="593">
        <f t="shared" si="283"/>
        <v>-96.126316415852997</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5">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1.9386150749426827</v>
      </c>
      <c r="N534" s="585">
        <f t="shared" si="270"/>
        <v>-1.0288175952893277</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-5.4256614898943836</v>
      </c>
      <c r="X534" s="590">
        <f t="shared" si="276"/>
        <v>-217.92759250072854</v>
      </c>
      <c r="Y534" s="593">
        <f t="shared" si="277"/>
        <v>-37.927592500728537</v>
      </c>
      <c r="AA534" s="150">
        <f t="shared" si="278"/>
        <v>78077</v>
      </c>
      <c r="AB534" s="150">
        <f t="shared" si="279"/>
        <v>6096017929</v>
      </c>
      <c r="AD534" s="592">
        <f t="shared" si="280"/>
        <v>26.983332704912939</v>
      </c>
      <c r="AE534" s="593">
        <f t="shared" si="281"/>
        <v>-22.400694740159814</v>
      </c>
      <c r="AG534" s="592">
        <f t="shared" si="282"/>
        <v>-2.6505265561098805</v>
      </c>
      <c r="AH534" s="593">
        <f t="shared" si="283"/>
        <v>-96.03101829061417</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5">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1.9468581054635319</v>
      </c>
      <c r="N535" s="585">
        <f t="shared" si="270"/>
        <v>-1.0313650414561601</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-5.4660377198080727</v>
      </c>
      <c r="X535" s="590">
        <f t="shared" si="276"/>
        <v>-218.40329979362352</v>
      </c>
      <c r="Y535" s="593">
        <f t="shared" si="277"/>
        <v>-38.403299793623518</v>
      </c>
      <c r="AA535" s="150">
        <f t="shared" si="278"/>
        <v>78529</v>
      </c>
      <c r="AB535" s="150">
        <f t="shared" si="279"/>
        <v>6166803841</v>
      </c>
      <c r="AD535" s="592">
        <f t="shared" si="280"/>
        <v>26.97659289478451</v>
      </c>
      <c r="AE535" s="593">
        <f t="shared" si="281"/>
        <v>-22.507811297048463</v>
      </c>
      <c r="AG535" s="592">
        <f t="shared" si="282"/>
        <v>-2.6432631652535257</v>
      </c>
      <c r="AH535" s="593">
        <f t="shared" si="283"/>
        <v>-95.935062695633675</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5">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1.9551136635031248</v>
      </c>
      <c r="N536" s="585">
        <f t="shared" si="270"/>
        <v>-1.0338909904810412</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-5.5062898346615397</v>
      </c>
      <c r="X536" s="590">
        <f t="shared" si="276"/>
        <v>-218.87697984100419</v>
      </c>
      <c r="Y536" s="593">
        <f t="shared" si="277"/>
        <v>-38.876979841004186</v>
      </c>
      <c r="AA536" s="150">
        <f t="shared" si="278"/>
        <v>78981</v>
      </c>
      <c r="AB536" s="150">
        <f t="shared" si="279"/>
        <v>6237998361</v>
      </c>
      <c r="AD536" s="592">
        <f t="shared" si="280"/>
        <v>26.969824997571166</v>
      </c>
      <c r="AE536" s="593">
        <f t="shared" si="281"/>
        <v>-22.614817129764809</v>
      </c>
      <c r="AG536" s="592">
        <f t="shared" si="282"/>
        <v>-2.6357758233424922</v>
      </c>
      <c r="AH536" s="593">
        <f t="shared" si="283"/>
        <v>-95.838461738028428</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5">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1.9633815910356534</v>
      </c>
      <c r="N537" s="585">
        <f t="shared" si="270"/>
        <v>-1.0363956815038562</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-5.5464203980145976</v>
      </c>
      <c r="X537" s="590">
        <f t="shared" si="276"/>
        <v>-219.34864829704298</v>
      </c>
      <c r="Y537" s="593">
        <f t="shared" si="277"/>
        <v>-39.348648297042985</v>
      </c>
      <c r="AA537" s="150">
        <f t="shared" si="278"/>
        <v>79433</v>
      </c>
      <c r="AB537" s="150">
        <f t="shared" si="279"/>
        <v>6309601489</v>
      </c>
      <c r="AD537" s="592">
        <f t="shared" si="280"/>
        <v>26.963029155858283</v>
      </c>
      <c r="AE537" s="593">
        <f t="shared" si="281"/>
        <v>-22.721710685084041</v>
      </c>
      <c r="AG537" s="592">
        <f t="shared" si="282"/>
        <v>-2.6280685680744158</v>
      </c>
      <c r="AH537" s="593">
        <f t="shared" si="283"/>
        <v>-95.741227307977837</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5">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1.9718542247964996</v>
      </c>
      <c r="N538" s="585">
        <f t="shared" si="270"/>
        <v>-1.0389367986133031</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-5.5873599842184287</v>
      </c>
      <c r="X538" s="590">
        <f t="shared" si="276"/>
        <v>-219.82920761788256</v>
      </c>
      <c r="Y538" s="593">
        <f t="shared" si="277"/>
        <v>-39.82920761788256</v>
      </c>
      <c r="AA538" s="150">
        <f t="shared" si="278"/>
        <v>79895.5</v>
      </c>
      <c r="AB538" s="150">
        <f t="shared" si="279"/>
        <v>6383290920.25</v>
      </c>
      <c r="AD538" s="592">
        <f t="shared" si="280"/>
        <v>26.956046669336288</v>
      </c>
      <c r="AE538" s="593">
        <f t="shared" si="281"/>
        <v>-22.830969580025005</v>
      </c>
      <c r="AG538" s="592">
        <f t="shared" si="282"/>
        <v>-2.6199587646482376</v>
      </c>
      <c r="AH538" s="593">
        <f t="shared" si="283"/>
        <v>-95.641090575323176</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5">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1.9803394823654732</v>
      </c>
      <c r="N539" s="585">
        <f t="shared" si="270"/>
        <v>-1.0414561557771718</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-5.6281775304834314</v>
      </c>
      <c r="X539" s="590">
        <f t="shared" si="276"/>
        <v>-220.30769354810261</v>
      </c>
      <c r="Y539" s="593">
        <f t="shared" si="277"/>
        <v>-40.307693548102606</v>
      </c>
      <c r="AA539" s="150">
        <f t="shared" si="278"/>
        <v>80358</v>
      </c>
      <c r="AB539" s="150">
        <f t="shared" si="279"/>
        <v>6457408164</v>
      </c>
      <c r="AD539" s="592">
        <f t="shared" si="280"/>
        <v>26.949035227656548</v>
      </c>
      <c r="AE539" s="593">
        <f t="shared" si="281"/>
        <v>-22.94010773069839</v>
      </c>
      <c r="AG539" s="592">
        <f t="shared" si="282"/>
        <v>-2.6116270098519019</v>
      </c>
      <c r="AH539" s="593">
        <f t="shared" si="283"/>
        <v>-95.540315101921095</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5">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1.9888372021663643</v>
      </c>
      <c r="N540" s="585">
        <f t="shared" si="270"/>
        <v>-1.0439539997296916</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-5.6688755781815274</v>
      </c>
      <c r="X540" s="590">
        <f t="shared" si="276"/>
        <v>-220.78412243893794</v>
      </c>
      <c r="Y540" s="593">
        <f t="shared" si="277"/>
        <v>-40.784122438937942</v>
      </c>
      <c r="AA540" s="150">
        <f t="shared" si="278"/>
        <v>80820.5</v>
      </c>
      <c r="AB540" s="150">
        <f t="shared" si="279"/>
        <v>6531953220.25</v>
      </c>
      <c r="AD540" s="592">
        <f t="shared" si="280"/>
        <v>26.941994984240409</v>
      </c>
      <c r="AE540" s="593">
        <f t="shared" si="281"/>
        <v>-23.049123573346261</v>
      </c>
      <c r="AG540" s="592">
        <f t="shared" si="282"/>
        <v>-2.6030773744254398</v>
      </c>
      <c r="AH540" s="593">
        <f t="shared" si="283"/>
        <v>-95.438912940569196</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5">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1.9973472251373692</v>
      </c>
      <c r="N541" s="585">
        <f t="shared" si="270"/>
        <v>-1.0464305740831543</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-5.709456603362816</v>
      </c>
      <c r="X541" s="590">
        <f t="shared" si="276"/>
        <v>-221.25851050212466</v>
      </c>
      <c r="Y541" s="593">
        <f t="shared" si="277"/>
        <v>-41.258510502124665</v>
      </c>
      <c r="AA541" s="150">
        <f t="shared" si="278"/>
        <v>81283</v>
      </c>
      <c r="AB541" s="150">
        <f t="shared" si="279"/>
        <v>6606926089</v>
      </c>
      <c r="AD541" s="592">
        <f t="shared" si="280"/>
        <v>26.934926092704558</v>
      </c>
      <c r="AE541" s="593">
        <f t="shared" si="281"/>
        <v>-23.158015576492154</v>
      </c>
      <c r="AG541" s="592">
        <f t="shared" si="282"/>
        <v>-2.5943138470350129</v>
      </c>
      <c r="AH541" s="593">
        <f t="shared" si="283"/>
        <v>-95.336895919629612</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5">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2.0060676207504171</v>
      </c>
      <c r="N542" s="585">
        <f t="shared" si="270"/>
        <v>-1.0489429460366935</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-5.7508622453757337</v>
      </c>
      <c r="X542" s="590">
        <f t="shared" si="276"/>
        <v>-221.74182911639491</v>
      </c>
      <c r="Y542" s="593">
        <f t="shared" si="277"/>
        <v>-41.741829116394911</v>
      </c>
      <c r="AA542" s="150">
        <f t="shared" si="278"/>
        <v>81756.25</v>
      </c>
      <c r="AB542" s="150">
        <f t="shared" si="279"/>
        <v>6684084414.0625</v>
      </c>
      <c r="AD542" s="592">
        <f t="shared" si="280"/>
        <v>26.927663402968022</v>
      </c>
      <c r="AE542" s="593">
        <f t="shared" si="281"/>
        <v>-23.269308827891763</v>
      </c>
      <c r="AG542" s="592">
        <f t="shared" si="282"/>
        <v>-2.5851292964454826</v>
      </c>
      <c r="AH542" s="593">
        <f t="shared" si="283"/>
        <v>-95.231883336412281</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5">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2.0148005690323023</v>
      </c>
      <c r="N543" s="585">
        <f t="shared" si="270"/>
        <v>-1.0514335543559379</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-5.7921504052961206</v>
      </c>
      <c r="X543" s="590">
        <f t="shared" si="276"/>
        <v>-222.22304482939236</v>
      </c>
      <c r="Y543" s="593">
        <f t="shared" si="277"/>
        <v>-42.223044829392364</v>
      </c>
      <c r="AA543" s="150">
        <f t="shared" si="278"/>
        <v>82229.5</v>
      </c>
      <c r="AB543" s="150">
        <f t="shared" si="279"/>
        <v>6761690670.25</v>
      </c>
      <c r="AD543" s="592">
        <f t="shared" si="280"/>
        <v>26.920371043869086</v>
      </c>
      <c r="AE543" s="593">
        <f t="shared" si="281"/>
        <v>-23.380469272165239</v>
      </c>
      <c r="AG543" s="592">
        <f t="shared" si="282"/>
        <v>-2.5757289896483684</v>
      </c>
      <c r="AH543" s="593">
        <f t="shared" si="283"/>
        <v>-95.126251330486838</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5">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2.0235459074636535</v>
      </c>
      <c r="N544" s="585">
        <f t="shared" si="270"/>
        <v>-1.0539026501139988</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-5.8333235352484252</v>
      </c>
      <c r="X544" s="590">
        <f t="shared" si="276"/>
        <v>-222.70217456286167</v>
      </c>
      <c r="Y544" s="593">
        <f t="shared" si="277"/>
        <v>-42.702174562861671</v>
      </c>
      <c r="AA544" s="150">
        <f t="shared" si="278"/>
        <v>82702.75</v>
      </c>
      <c r="AB544" s="150">
        <f t="shared" si="279"/>
        <v>6839744857.5625</v>
      </c>
      <c r="AD544" s="592">
        <f t="shared" si="280"/>
        <v>26.91304918052915</v>
      </c>
      <c r="AE544" s="593">
        <f t="shared" si="281"/>
        <v>-23.491495368848419</v>
      </c>
      <c r="AG544" s="592">
        <f t="shared" si="282"/>
        <v>-2.5661169451549961</v>
      </c>
      <c r="AH544" s="593">
        <f t="shared" si="283"/>
        <v>-95.020011866223257</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5">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2.0323034760938814</v>
      </c>
      <c r="N545" s="585">
        <f t="shared" si="270"/>
        <v>-1.0563504811147146</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-5.8743840235030689</v>
      </c>
      <c r="X545" s="590">
        <f t="shared" si="276"/>
        <v>-223.17923509018442</v>
      </c>
      <c r="Y545" s="593">
        <f t="shared" si="277"/>
        <v>-43.17923509018442</v>
      </c>
      <c r="AA545" s="150">
        <f t="shared" si="278"/>
        <v>83176</v>
      </c>
      <c r="AB545" s="150">
        <f t="shared" si="279"/>
        <v>6918246976</v>
      </c>
      <c r="AD545" s="592">
        <f t="shared" si="280"/>
        <v>26.905697978221941</v>
      </c>
      <c r="AE545" s="593">
        <f t="shared" si="281"/>
        <v>-23.602385609802393</v>
      </c>
      <c r="AG545" s="592">
        <f t="shared" si="282"/>
        <v>-2.5562970994668017</v>
      </c>
      <c r="AH545" s="593">
        <f t="shared" si="283"/>
        <v>-94.913176676461106</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5">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2.0412817332066768</v>
      </c>
      <c r="N546" s="585">
        <f t="shared" si="270"/>
        <v>-1.0588347277752457</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-5.9163063315882489</v>
      </c>
      <c r="X546" s="590">
        <f t="shared" si="276"/>
        <v>-223.66550998600604</v>
      </c>
      <c r="Y546" s="593">
        <f t="shared" si="277"/>
        <v>-43.665509986006043</v>
      </c>
      <c r="AA546" s="150">
        <f t="shared" si="278"/>
        <v>83660.5</v>
      </c>
      <c r="AB546" s="150">
        <f t="shared" si="279"/>
        <v>6999079260.25</v>
      </c>
      <c r="AD546" s="592">
        <f t="shared" si="280"/>
        <v>26.898141803969299</v>
      </c>
      <c r="AE546" s="593">
        <f t="shared" si="281"/>
        <v>-23.715769630428877</v>
      </c>
      <c r="AG546" s="592">
        <f t="shared" si="282"/>
        <v>-2.5460325749804475</v>
      </c>
      <c r="AH546" s="593">
        <f t="shared" si="283"/>
        <v>-94.803196698327895</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5">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2.0502724776744019</v>
      </c>
      <c r="N547" s="585">
        <f t="shared" si="270"/>
        <v>-1.0612972019527129</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-5.9581154475157643</v>
      </c>
      <c r="X547" s="590">
        <f t="shared" si="276"/>
        <v>-224.14965123625748</v>
      </c>
      <c r="Y547" s="593">
        <f t="shared" si="277"/>
        <v>-44.149651236257483</v>
      </c>
      <c r="AA547" s="150">
        <f t="shared" si="278"/>
        <v>84145</v>
      </c>
      <c r="AB547" s="150">
        <f t="shared" si="279"/>
        <v>7080381025</v>
      </c>
      <c r="AD547" s="592">
        <f t="shared" si="280"/>
        <v>26.890555230283123</v>
      </c>
      <c r="AE547" s="593">
        <f t="shared" si="281"/>
        <v>-23.829008161268778</v>
      </c>
      <c r="AG547" s="592">
        <f t="shared" si="282"/>
        <v>-2.5355583468093972</v>
      </c>
      <c r="AH547" s="593">
        <f t="shared" si="283"/>
        <v>-94.692616493987501</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5">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2.0592755459386449</v>
      </c>
      <c r="N548" s="585">
        <f t="shared" si="270"/>
        <v>-1.0637381591517043</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-5.9998137376921612</v>
      </c>
      <c r="X548" s="590">
        <f t="shared" si="276"/>
        <v>-224.63167636386856</v>
      </c>
      <c r="Y548" s="593">
        <f t="shared" si="277"/>
        <v>-44.631676363868564</v>
      </c>
      <c r="AA548" s="150">
        <f t="shared" si="278"/>
        <v>84629.5</v>
      </c>
      <c r="AB548" s="150">
        <f t="shared" si="279"/>
        <v>7162152270.25</v>
      </c>
      <c r="AD548" s="592">
        <f t="shared" si="280"/>
        <v>26.88293843490554</v>
      </c>
      <c r="AE548" s="593">
        <f t="shared" si="281"/>
        <v>-23.94209968474993</v>
      </c>
      <c r="AG548" s="592">
        <f t="shared" si="282"/>
        <v>-2.5248783839204898</v>
      </c>
      <c r="AH548" s="593">
        <f t="shared" si="283"/>
        <v>-94.581447922302118</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5">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2.0682907770665548</v>
      </c>
      <c r="N549" s="585">
        <f t="shared" si="270"/>
        <v>-1.0661578514568444</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-6.0414035061092806</v>
      </c>
      <c r="X549" s="590">
        <f t="shared" si="276"/>
        <v>-225.11160273420973</v>
      </c>
      <c r="Y549" s="593">
        <f t="shared" si="277"/>
        <v>-45.111602734209725</v>
      </c>
      <c r="AA549" s="150">
        <f t="shared" si="278"/>
        <v>85114</v>
      </c>
      <c r="AB549" s="150">
        <f t="shared" si="279"/>
        <v>7244392996</v>
      </c>
      <c r="AD549" s="592">
        <f t="shared" si="280"/>
        <v>26.875291595681674</v>
      </c>
      <c r="AE549" s="593">
        <f t="shared" si="281"/>
        <v>-24.055042715785369</v>
      </c>
      <c r="AG549" s="592">
        <f t="shared" si="282"/>
        <v>-2.5139965732085532</v>
      </c>
      <c r="AH549" s="593">
        <f t="shared" si="283"/>
        <v>-94.469702603477785</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5">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2.0775231035652357</v>
      </c>
      <c r="N550" s="585">
        <f t="shared" si="270"/>
        <v>-1.0686107446193893</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-6.083827613135969</v>
      </c>
      <c r="X550" s="590">
        <f t="shared" si="276"/>
        <v>-225.60027242631523</v>
      </c>
      <c r="Y550" s="593">
        <f t="shared" si="277"/>
        <v>-45.600272426315229</v>
      </c>
      <c r="AA550" s="150">
        <f t="shared" si="278"/>
        <v>85609.5</v>
      </c>
      <c r="AB550" s="150">
        <f t="shared" si="279"/>
        <v>7328986490.25</v>
      </c>
      <c r="AD550" s="592">
        <f t="shared" si="280"/>
        <v>26.867440254685672</v>
      </c>
      <c r="AE550" s="593">
        <f t="shared" si="281"/>
        <v>-24.170394882781693</v>
      </c>
      <c r="AG550" s="592">
        <f t="shared" si="282"/>
        <v>-2.5026628965907456</v>
      </c>
      <c r="AH550" s="593">
        <f t="shared" si="283"/>
        <v>-94.354835565737076</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5">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2.086767819218263</v>
      </c>
      <c r="N551" s="585">
        <f t="shared" si="270"/>
        <v>-1.071041918882671</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-6.1261428969704248</v>
      </c>
      <c r="X551" s="590">
        <f t="shared" si="276"/>
        <v>-226.08678321939564</v>
      </c>
      <c r="Y551" s="593">
        <f t="shared" si="277"/>
        <v>-46.086783219395642</v>
      </c>
      <c r="AA551" s="150">
        <f t="shared" si="278"/>
        <v>86105</v>
      </c>
      <c r="AB551" s="150">
        <f t="shared" si="279"/>
        <v>7414071025</v>
      </c>
      <c r="AD551" s="592">
        <f t="shared" si="280"/>
        <v>26.859557866647904</v>
      </c>
      <c r="AE551" s="593">
        <f t="shared" si="281"/>
        <v>-24.285588697248553</v>
      </c>
      <c r="AG551" s="592">
        <f t="shared" si="282"/>
        <v>-2.4911260710885892</v>
      </c>
      <c r="AH551" s="593">
        <f t="shared" si="283"/>
        <v>-94.239389130982062</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5">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2.096024760095029</v>
      </c>
      <c r="N552" s="585">
        <f t="shared" si="270"/>
        <v>-1.0734516330756851</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-6.1683516311903297</v>
      </c>
      <c r="X552" s="590">
        <f t="shared" si="276"/>
        <v>-226.57115318654783</v>
      </c>
      <c r="Y552" s="593">
        <f t="shared" si="277"/>
        <v>-46.571153186547832</v>
      </c>
      <c r="AA552" s="150">
        <f t="shared" si="278"/>
        <v>86600.5</v>
      </c>
      <c r="AB552" s="150">
        <f t="shared" si="279"/>
        <v>7499646600.25</v>
      </c>
      <c r="AD552" s="592">
        <f t="shared" si="280"/>
        <v>26.851644622037661</v>
      </c>
      <c r="AE552" s="593">
        <f t="shared" si="281"/>
        <v>-24.400622671535956</v>
      </c>
      <c r="AG552" s="592">
        <f t="shared" si="282"/>
        <v>-2.4793900002023253</v>
      </c>
      <c r="AH552" s="593">
        <f t="shared" si="283"/>
        <v>-94.123374979556857</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5">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2.1052937649332368</v>
      </c>
      <c r="N553" s="585">
        <f t="shared" si="270"/>
        <v>-1.0758401424751718</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-6.2104560287533337</v>
      </c>
      <c r="X553" s="590">
        <f t="shared" si="276"/>
        <v>-227.05340023477549</v>
      </c>
      <c r="Y553" s="593">
        <f t="shared" si="277"/>
        <v>-47.053400234775495</v>
      </c>
      <c r="AA553" s="150">
        <f t="shared" si="278"/>
        <v>87096</v>
      </c>
      <c r="AB553" s="150">
        <f t="shared" si="279"/>
        <v>7585713216</v>
      </c>
      <c r="AD553" s="592">
        <f t="shared" si="280"/>
        <v>26.843700711370076</v>
      </c>
      <c r="AE553" s="593">
        <f t="shared" si="281"/>
        <v>-24.515495350553444</v>
      </c>
      <c r="AG553" s="592">
        <f t="shared" si="282"/>
        <v>-2.4674585056798297</v>
      </c>
      <c r="AH553" s="593">
        <f t="shared" si="283"/>
        <v>-94.006804547517746</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5">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2.1147949004398598</v>
      </c>
      <c r="N554" s="585">
        <f t="shared" si="270"/>
        <v>-1.0782635894282568</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-6.2534530369918286</v>
      </c>
      <c r="X554" s="590">
        <f t="shared" si="276"/>
        <v>-227.54490250473401</v>
      </c>
      <c r="Y554" s="593">
        <f t="shared" si="277"/>
        <v>-47.544902504734011</v>
      </c>
      <c r="AA554" s="150">
        <f t="shared" si="278"/>
        <v>87603.25</v>
      </c>
      <c r="AB554" s="150">
        <f t="shared" si="279"/>
        <v>7674329410.5625</v>
      </c>
      <c r="AD554" s="592">
        <f t="shared" si="280"/>
        <v>26.835536856867396</v>
      </c>
      <c r="AE554" s="593">
        <f t="shared" si="281"/>
        <v>-24.632923490121538</v>
      </c>
      <c r="AG554" s="592">
        <f t="shared" si="282"/>
        <v>-2.4550455509734386</v>
      </c>
      <c r="AH554" s="593">
        <f t="shared" si="283"/>
        <v>-93.886905295256639</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5">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2.1243083451934419</v>
      </c>
      <c r="N555" s="585">
        <f t="shared" si="270"/>
        <v>-1.0806653441841123</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-6.2963452078932978</v>
      </c>
      <c r="X555" s="590">
        <f t="shared" si="276"/>
        <v>-228.0342174300244</v>
      </c>
      <c r="Y555" s="593">
        <f t="shared" si="277"/>
        <v>-48.034217430024398</v>
      </c>
      <c r="AA555" s="150">
        <f t="shared" si="278"/>
        <v>88110.5</v>
      </c>
      <c r="AB555" s="150">
        <f t="shared" si="279"/>
        <v>7763460210.25</v>
      </c>
      <c r="AD555" s="592">
        <f t="shared" si="280"/>
        <v>26.827341268797067</v>
      </c>
      <c r="AE555" s="593">
        <f t="shared" si="281"/>
        <v>-24.750179609555975</v>
      </c>
      <c r="AG555" s="592">
        <f t="shared" si="282"/>
        <v>-2.4424356453233975</v>
      </c>
      <c r="AH555" s="593">
        <f t="shared" si="283"/>
        <v>-93.766446554266636</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5">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2.1338339345560504</v>
      </c>
      <c r="N556" s="585">
        <f t="shared" si="270"/>
        <v>-1.0830456693541193</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-6.3391347297328871</v>
      </c>
      <c r="X556" s="590">
        <f t="shared" si="276"/>
        <v>-228.52136369165896</v>
      </c>
      <c r="Y556" s="593">
        <f t="shared" si="277"/>
        <v>-48.521363691658962</v>
      </c>
      <c r="AA556" s="150">
        <f t="shared" si="278"/>
        <v>88617.75</v>
      </c>
      <c r="AB556" s="150">
        <f t="shared" si="279"/>
        <v>7853105615.0625</v>
      </c>
      <c r="AD556" s="592">
        <f t="shared" si="280"/>
        <v>26.819114151596146</v>
      </c>
      <c r="AE556" s="593">
        <f t="shared" si="281"/>
        <v>-24.867262249336424</v>
      </c>
      <c r="AG556" s="592">
        <f t="shared" si="282"/>
        <v>-2.4296326348343231</v>
      </c>
      <c r="AH556" s="593">
        <f t="shared" si="283"/>
        <v>-93.645439824900194</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5">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2.1433715066081755</v>
      </c>
      <c r="N557" s="585">
        <f t="shared" si="270"/>
        <v>-1.0854048238556928</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-6.3818237318117319</v>
      </c>
      <c r="X557" s="590">
        <f t="shared" si="276"/>
        <v>-229.00635979538509</v>
      </c>
      <c r="Y557" s="593">
        <f t="shared" si="277"/>
        <v>-49.006359795385094</v>
      </c>
      <c r="AA557" s="150">
        <f t="shared" si="278"/>
        <v>89125</v>
      </c>
      <c r="AB557" s="150">
        <f t="shared" si="279"/>
        <v>7943265625</v>
      </c>
      <c r="AD557" s="592">
        <f t="shared" si="280"/>
        <v>26.810855709682386</v>
      </c>
      <c r="AE557" s="593">
        <f t="shared" si="281"/>
        <v>-24.984169982754462</v>
      </c>
      <c r="AG557" s="592">
        <f t="shared" si="282"/>
        <v>-2.4166402838928458</v>
      </c>
      <c r="AH557" s="593">
        <f t="shared" si="283"/>
        <v>-93.523896357164674</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5">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2.1531422442981794</v>
      </c>
      <c r="N558" s="585">
        <f t="shared" si="270"/>
        <v>-1.0877969803792982</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-6.4253997085426082</v>
      </c>
      <c r="X558" s="590">
        <f t="shared" si="276"/>
        <v>-229.50038408229631</v>
      </c>
      <c r="Y558" s="593">
        <f t="shared" si="277"/>
        <v>-49.500384082296307</v>
      </c>
      <c r="AA558" s="150">
        <f t="shared" si="278"/>
        <v>89644</v>
      </c>
      <c r="AB558" s="150">
        <f t="shared" si="279"/>
        <v>8036046736</v>
      </c>
      <c r="AD558" s="592">
        <f t="shared" si="280"/>
        <v>26.802373759867013</v>
      </c>
      <c r="AE558" s="593">
        <f t="shared" si="281"/>
        <v>-25.103603295982019</v>
      </c>
      <c r="AG558" s="592">
        <f t="shared" si="282"/>
        <v>-2.403154849021397</v>
      </c>
      <c r="AH558" s="593">
        <f t="shared" si="283"/>
        <v>-93.398993385779974</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5">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2.1629251917974743</v>
      </c>
      <c r="N559" s="585">
        <f t="shared" si="270"/>
        <v>-1.090167510836602</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-6.4688747830354405</v>
      </c>
      <c r="X559" s="590">
        <f t="shared" si="276"/>
        <v>-229.99219608531658</v>
      </c>
      <c r="Y559" s="593">
        <f t="shared" si="277"/>
        <v>-49.992196085316579</v>
      </c>
      <c r="AA559" s="150">
        <f t="shared" si="278"/>
        <v>90163</v>
      </c>
      <c r="AB559" s="150">
        <f t="shared" si="279"/>
        <v>8129366569</v>
      </c>
      <c r="AD559" s="592">
        <f t="shared" si="280"/>
        <v>26.793859450130494</v>
      </c>
      <c r="AE559" s="593">
        <f t="shared" si="281"/>
        <v>-25.222850586391669</v>
      </c>
      <c r="AG559" s="592">
        <f t="shared" si="282"/>
        <v>-2.3894789193630546</v>
      </c>
      <c r="AH559" s="593">
        <f t="shared" si="283"/>
        <v>-93.273551565498465</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5">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2.1727201841774346</v>
      </c>
      <c r="N560" s="585">
        <f t="shared" si="270"/>
        <v>-1.0925166808863973</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-6.5122510557427491</v>
      </c>
      <c r="X560" s="590">
        <f t="shared" si="276"/>
        <v>-230.48181506841661</v>
      </c>
      <c r="Y560" s="593">
        <f t="shared" si="277"/>
        <v>-50.481815068416608</v>
      </c>
      <c r="AA560" s="150">
        <f t="shared" si="278"/>
        <v>90682</v>
      </c>
      <c r="AB560" s="150">
        <f t="shared" si="279"/>
        <v>8223225124</v>
      </c>
      <c r="AD560" s="592">
        <f t="shared" si="280"/>
        <v>26.785312999255879</v>
      </c>
      <c r="AE560" s="593">
        <f t="shared" si="281"/>
        <v>-25.341910428042727</v>
      </c>
      <c r="AG560" s="592">
        <f t="shared" si="282"/>
        <v>-2.3756162736306754</v>
      </c>
      <c r="AH560" s="593">
        <f t="shared" si="283"/>
        <v>-93.147582161151476</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5">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2.1825270592689225</v>
      </c>
      <c r="N561" s="585">
        <f t="shared" si="270"/>
        <v>-1.0948447523645355</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-6.5555305700066455</v>
      </c>
      <c r="X561" s="590">
        <f t="shared" si="276"/>
        <v>-230.96926011152598</v>
      </c>
      <c r="Y561" s="593">
        <f t="shared" si="277"/>
        <v>-50.969260111525983</v>
      </c>
      <c r="AA561" s="150">
        <f t="shared" si="278"/>
        <v>91201</v>
      </c>
      <c r="AB561" s="150">
        <f t="shared" si="279"/>
        <v>8317622401</v>
      </c>
      <c r="AD561" s="592">
        <f t="shared" si="280"/>
        <v>26.776734625932505</v>
      </c>
      <c r="AE561" s="593">
        <f t="shared" si="281"/>
        <v>-25.460781428036761</v>
      </c>
      <c r="AG561" s="592">
        <f t="shared" si="282"/>
        <v>-2.3615706090671877</v>
      </c>
      <c r="AH561" s="593">
        <f t="shared" si="283"/>
        <v>-93.021096182268494</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5">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2.1925728146309305</v>
      </c>
      <c r="N562" s="585">
        <f t="shared" si="270"/>
        <v>-1.097205085255258</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-6.5997126995882436</v>
      </c>
      <c r="X562" s="590">
        <f t="shared" si="276"/>
        <v>-231.46574535044405</v>
      </c>
      <c r="Y562" s="593">
        <f t="shared" si="277"/>
        <v>-51.465745350444053</v>
      </c>
      <c r="AA562" s="150">
        <f t="shared" si="278"/>
        <v>91732</v>
      </c>
      <c r="AB562" s="150">
        <f t="shared" si="279"/>
        <v>8414759824</v>
      </c>
      <c r="AD562" s="592">
        <f t="shared" si="280"/>
        <v>26.767925098558717</v>
      </c>
      <c r="AE562" s="593">
        <f t="shared" si="281"/>
        <v>-25.582204030153409</v>
      </c>
      <c r="AG562" s="592">
        <f t="shared" si="282"/>
        <v>-2.3470145465274026</v>
      </c>
      <c r="AH562" s="593">
        <f t="shared" si="283"/>
        <v>-92.891162262804215</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5">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2.2026306737301802</v>
      </c>
      <c r="N563" s="585">
        <f t="shared" si="270"/>
        <v>-1.099543875129297</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-6.6437976963715171</v>
      </c>
      <c r="X563" s="590">
        <f t="shared" si="276"/>
        <v>-231.95999478365184</v>
      </c>
      <c r="Y563" s="593">
        <f t="shared" si="277"/>
        <v>-51.959994783651837</v>
      </c>
      <c r="AA563" s="150">
        <f t="shared" si="278"/>
        <v>92263</v>
      </c>
      <c r="AB563" s="150">
        <f t="shared" si="279"/>
        <v>8512461169</v>
      </c>
      <c r="AD563" s="592">
        <f t="shared" si="280"/>
        <v>26.759082618243497</v>
      </c>
      <c r="AE563" s="593">
        <f t="shared" si="281"/>
        <v>-25.703426110266367</v>
      </c>
      <c r="AG563" s="592">
        <f t="shared" si="282"/>
        <v>-2.3322744808966385</v>
      </c>
      <c r="AH563" s="593">
        <f t="shared" si="283"/>
        <v>-92.760710121950353</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5">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2.2127004715135881</v>
      </c>
      <c r="N564" s="585">
        <f t="shared" si="270"/>
        <v>-1.1018613903457961</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-6.6877875744014572</v>
      </c>
      <c r="X564" s="590">
        <f t="shared" si="276"/>
        <v>-232.45202826047952</v>
      </c>
      <c r="Y564" s="593">
        <f t="shared" si="277"/>
        <v>-52.452028260479523</v>
      </c>
      <c r="AA564" s="150">
        <f t="shared" si="278"/>
        <v>92794</v>
      </c>
      <c r="AB564" s="150">
        <f t="shared" si="279"/>
        <v>8610726436</v>
      </c>
      <c r="AD564" s="592">
        <f t="shared" si="280"/>
        <v>26.750207418780757</v>
      </c>
      <c r="AE564" s="593">
        <f t="shared" si="281"/>
        <v>-25.824446279610026</v>
      </c>
      <c r="AG564" s="592">
        <f t="shared" si="282"/>
        <v>-2.3173541193329465</v>
      </c>
      <c r="AH564" s="593">
        <f t="shared" si="283"/>
        <v>-92.629750751121932</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5">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2.2227820457248524</v>
      </c>
      <c r="N565" s="585">
        <f t="shared" si="270"/>
        <v>-1.1041578953180404</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-6.7316842925659559</v>
      </c>
      <c r="X565" s="590">
        <f t="shared" si="276"/>
        <v>-232.94186543752045</v>
      </c>
      <c r="Y565" s="593">
        <f t="shared" si="277"/>
        <v>-52.941865437520448</v>
      </c>
      <c r="AA565" s="150">
        <f t="shared" si="278"/>
        <v>93325</v>
      </c>
      <c r="AB565" s="150">
        <f t="shared" si="279"/>
        <v>8709555625</v>
      </c>
      <c r="AD565" s="592">
        <f t="shared" si="280"/>
        <v>26.7412997337862</v>
      </c>
      <c r="AE565" s="593">
        <f t="shared" si="281"/>
        <v>-25.945263182733125</v>
      </c>
      <c r="AG565" s="592">
        <f t="shared" si="282"/>
        <v>-2.302257087820073</v>
      </c>
      <c r="AH565" s="593">
        <f t="shared" si="283"/>
        <v>-92.498294882116554</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5">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2.2331129741842082</v>
      </c>
      <c r="N566" s="585">
        <f t="shared" si="270"/>
        <v>-1.106486975081264</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-6.7765198741857322</v>
      </c>
      <c r="X566" s="590">
        <f t="shared" si="276"/>
        <v>-233.44097947613363</v>
      </c>
      <c r="Y566" s="593">
        <f t="shared" si="277"/>
        <v>-53.440979476133634</v>
      </c>
      <c r="AA566" s="150">
        <f t="shared" si="278"/>
        <v>93868.5</v>
      </c>
      <c r="AB566" s="150">
        <f t="shared" si="279"/>
        <v>8811295292.25</v>
      </c>
      <c r="AD566" s="592">
        <f t="shared" si="280"/>
        <v>26.732148959526153</v>
      </c>
      <c r="AE566" s="593">
        <f t="shared" si="281"/>
        <v>-26.068712294449778</v>
      </c>
      <c r="AG566" s="592">
        <f t="shared" si="282"/>
        <v>-2.2866254088253766</v>
      </c>
      <c r="AH566" s="593">
        <f t="shared" si="283"/>
        <v>-92.363241243652737</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5">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2.2434559048122495</v>
      </c>
      <c r="N567" s="585">
        <f t="shared" si="270"/>
        <v>-1.1087945919075108</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-6.8212618413675861</v>
      </c>
      <c r="X567" s="590">
        <f t="shared" si="276"/>
        <v>-233.93783365569251</v>
      </c>
      <c r="Y567" s="593">
        <f t="shared" si="277"/>
        <v>-53.937833655692515</v>
      </c>
      <c r="AA567" s="150">
        <f t="shared" si="278"/>
        <v>94412</v>
      </c>
      <c r="AB567" s="150">
        <f t="shared" si="279"/>
        <v>8913625744</v>
      </c>
      <c r="AD567" s="592">
        <f t="shared" si="280"/>
        <v>26.722964646881067</v>
      </c>
      <c r="AE567" s="593">
        <f t="shared" si="281"/>
        <v>-26.191945687875471</v>
      </c>
      <c r="AG567" s="592">
        <f t="shared" si="282"/>
        <v>-2.2708160786920888</v>
      </c>
      <c r="AH567" s="593">
        <f t="shared" si="283"/>
        <v>-92.22768939482367</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5">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2.253810672372035</v>
      </c>
      <c r="N568" s="585">
        <f t="shared" si="270"/>
        <v>-1.111081016873765</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-6.8659121262315317</v>
      </c>
      <c r="X568" s="590">
        <f t="shared" si="276"/>
        <v>-234.43244844122336</v>
      </c>
      <c r="Y568" s="593">
        <f t="shared" si="277"/>
        <v>-54.432448441223357</v>
      </c>
      <c r="AA568" s="150">
        <f t="shared" si="278"/>
        <v>94955.5</v>
      </c>
      <c r="AB568" s="150">
        <f t="shared" si="279"/>
        <v>9016546980.25</v>
      </c>
      <c r="AD568" s="592">
        <f t="shared" si="280"/>
        <v>26.713747045658103</v>
      </c>
      <c r="AE568" s="593">
        <f t="shared" si="281"/>
        <v>-26.314962013629163</v>
      </c>
      <c r="AG568" s="592">
        <f t="shared" si="282"/>
        <v>-2.2548327336417491</v>
      </c>
      <c r="AH568" s="593">
        <f t="shared" si="283"/>
        <v>-92.091650030118487</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5">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2.2641771144619516</v>
      </c>
      <c r="N569" s="585">
        <f t="shared" si="270"/>
        <v>-1.1133465169873651</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-6.9104726076842269</v>
      </c>
      <c r="X569" s="590">
        <f t="shared" si="276"/>
        <v>-234.9248440960574</v>
      </c>
      <c r="Y569" s="593">
        <f t="shared" si="277"/>
        <v>-54.924844096057399</v>
      </c>
      <c r="AA569" s="150">
        <f t="shared" si="278"/>
        <v>95499</v>
      </c>
      <c r="AB569" s="150">
        <f t="shared" si="279"/>
        <v>9120059001</v>
      </c>
      <c r="AD569" s="592">
        <f t="shared" si="280"/>
        <v>26.704496405390159</v>
      </c>
      <c r="AE569" s="593">
        <f t="shared" si="281"/>
        <v>-26.43775995601623</v>
      </c>
      <c r="AG569" s="592">
        <f t="shared" si="282"/>
        <v>-2.2386789289169693</v>
      </c>
      <c r="AH569" s="593">
        <f t="shared" si="283"/>
        <v>-91.955133580284013</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5">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2.2854321099834762</v>
      </c>
      <c r="N570" s="585">
        <f t="shared" si="270"/>
        <v>-1.1179196602634738</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-7.0014118544765047</v>
      </c>
      <c r="X570" s="590">
        <f t="shared" si="276"/>
        <v>-235.92590174309873</v>
      </c>
      <c r="Y570" s="593">
        <f t="shared" si="277"/>
        <v>-55.925901743098734</v>
      </c>
      <c r="AA570" s="150">
        <f t="shared" si="278"/>
        <v>96611.5</v>
      </c>
      <c r="AB570" s="150">
        <f t="shared" si="279"/>
        <v>9333781932.25</v>
      </c>
      <c r="AD570" s="592">
        <f t="shared" si="280"/>
        <v>26.685459121465051</v>
      </c>
      <c r="AE570" s="593">
        <f t="shared" si="281"/>
        <v>-26.688430923819713</v>
      </c>
      <c r="AG570" s="592">
        <f t="shared" si="282"/>
        <v>-2.2050963904930141</v>
      </c>
      <c r="AH570" s="593">
        <f t="shared" si="283"/>
        <v>-91.674250356000186</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5">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2.3067340208026428</v>
      </c>
      <c r="N571" s="585">
        <f t="shared" si="270"/>
        <v>-1.1224084331059938</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-7.0919974691940002</v>
      </c>
      <c r="X571" s="590">
        <f t="shared" si="276"/>
        <v>-236.91791488059891</v>
      </c>
      <c r="Y571" s="593">
        <f t="shared" si="277"/>
        <v>-56.917914880598914</v>
      </c>
      <c r="AA571" s="150">
        <f t="shared" si="278"/>
        <v>97724</v>
      </c>
      <c r="AB571" s="150">
        <f t="shared" si="279"/>
        <v>9549980176</v>
      </c>
      <c r="AD571" s="592">
        <f t="shared" si="280"/>
        <v>26.666286585408393</v>
      </c>
      <c r="AE571" s="593">
        <f t="shared" si="281"/>
        <v>-26.938170972321526</v>
      </c>
      <c r="AG571" s="592">
        <f t="shared" si="282"/>
        <v>-2.1708429425215425</v>
      </c>
      <c r="AH571" s="593">
        <f t="shared" si="283"/>
        <v>-91.391494503500113</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5">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2.3285713984507086</v>
      </c>
      <c r="N572" s="585">
        <f t="shared" si="270"/>
        <v>-1.1269150293279842</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-7.1843083575044684</v>
      </c>
      <c r="X572" s="590">
        <f t="shared" si="276"/>
        <v>-237.92348164533109</v>
      </c>
      <c r="Y572" s="593">
        <f t="shared" si="277"/>
        <v>-57.923481645331094</v>
      </c>
      <c r="AA572" s="150">
        <f t="shared" si="278"/>
        <v>98862</v>
      </c>
      <c r="AB572" s="150">
        <f t="shared" si="279"/>
        <v>9773695044</v>
      </c>
      <c r="AD572" s="592">
        <f t="shared" si="280"/>
        <v>26.646536868786399</v>
      </c>
      <c r="AE572" s="593">
        <f t="shared" si="281"/>
        <v>-27.192661768120008</v>
      </c>
      <c r="AG572" s="592">
        <f t="shared" si="282"/>
        <v>-2.135138894242234</v>
      </c>
      <c r="AH572" s="593">
        <f t="shared" si="283"/>
        <v>-91.100403052083294</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5">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2.3504551887046801</v>
      </c>
      <c r="N573" s="585">
        <f t="shared" si="270"/>
        <v>-1.131337797129021</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-7.2762784684683659</v>
      </c>
      <c r="X573" s="590">
        <f t="shared" si="276"/>
        <v>-238.91993265520816</v>
      </c>
      <c r="Y573" s="593">
        <f t="shared" si="277"/>
        <v>-58.919932655208157</v>
      </c>
      <c r="AA573" s="150">
        <f t="shared" si="278"/>
        <v>100000</v>
      </c>
      <c r="AB573" s="150">
        <f t="shared" si="279"/>
        <v>10000000000</v>
      </c>
      <c r="AD573" s="592">
        <f t="shared" si="280"/>
        <v>26.62665012408587</v>
      </c>
      <c r="AE573" s="593">
        <f t="shared" si="281"/>
        <v>-27.446157804279956</v>
      </c>
      <c r="AG573" s="592">
        <f t="shared" si="282"/>
        <v>-2.0987897509068909</v>
      </c>
      <c r="AH573" s="593">
        <f t="shared" si="283"/>
        <v>-90.807516355634519</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5">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2.3729049268878843</v>
      </c>
      <c r="N574" s="585">
        <f t="shared" si="270"/>
        <v>-1.1357809068304885</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-7.3700918403149327</v>
      </c>
      <c r="X574" s="590">
        <f t="shared" si="276"/>
        <v>-239.93076084848204</v>
      </c>
      <c r="Y574" s="593">
        <f t="shared" si="277"/>
        <v>-59.930760848482038</v>
      </c>
      <c r="AA574" s="150">
        <f t="shared" si="278"/>
        <v>101165</v>
      </c>
      <c r="AB574" s="150">
        <f t="shared" si="279"/>
        <v>10234357225</v>
      </c>
      <c r="AD574" s="592">
        <f t="shared" si="280"/>
        <v>26.606151967583639</v>
      </c>
      <c r="AE574" s="593">
        <f t="shared" si="281"/>
        <v>-27.704627759026884</v>
      </c>
      <c r="AG574" s="592">
        <f t="shared" si="282"/>
        <v>-2.0609379771361236</v>
      </c>
      <c r="AH574" s="593">
        <f t="shared" si="283"/>
        <v>-90.505900922756084</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5">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2.3954006305383375</v>
      </c>
      <c r="N575" s="585">
        <f t="shared" si="270"/>
        <v>-1.1401406489301238</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-7.4635761189028651</v>
      </c>
      <c r="X575" s="590">
        <f t="shared" si="276"/>
        <v>-240.93239410232431</v>
      </c>
      <c r="Y575" s="593">
        <f t="shared" si="277"/>
        <v>-60.932394102324309</v>
      </c>
      <c r="AA575" s="150">
        <f t="shared" si="278"/>
        <v>102330</v>
      </c>
      <c r="AB575" s="150">
        <f t="shared" si="279"/>
        <v>10471428900</v>
      </c>
      <c r="AD575" s="592">
        <f t="shared" si="280"/>
        <v>26.585514990620922</v>
      </c>
      <c r="AE575" s="593">
        <f t="shared" si="281"/>
        <v>-27.962035357591656</v>
      </c>
      <c r="AG575" s="592">
        <f t="shared" si="282"/>
        <v>-2.0224657315289156</v>
      </c>
      <c r="AH575" s="593">
        <f t="shared" si="283"/>
        <v>-90.202561875543097</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5">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2.4184251964815227</v>
      </c>
      <c r="N576" s="585">
        <f t="shared" si="270"/>
        <v>-1.1445101265643616</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-7.5587402982128413</v>
      </c>
      <c r="X576" s="590">
        <f t="shared" si="276"/>
        <v>-241.94621147067855</v>
      </c>
      <c r="Y576" s="593">
        <f t="shared" si="277"/>
        <v>-61.946211470678548</v>
      </c>
      <c r="AA576" s="150">
        <f t="shared" si="278"/>
        <v>103520</v>
      </c>
      <c r="AB576" s="150">
        <f t="shared" si="279"/>
        <v>10716390400</v>
      </c>
      <c r="AD576" s="592">
        <f t="shared" si="280"/>
        <v>26.564294341545338</v>
      </c>
      <c r="AE576" s="593">
        <f t="shared" si="281"/>
        <v>-28.223860374764811</v>
      </c>
      <c r="AG576" s="592">
        <f t="shared" si="282"/>
        <v>-1.9825545390480106</v>
      </c>
      <c r="AH576" s="593">
        <f t="shared" si="283"/>
        <v>-89.891010090682002</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5">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2.4414950644217495</v>
      </c>
      <c r="N577" s="585">
        <f t="shared" si="270"/>
        <v>-1.1487971097276599</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-7.6535878718883863</v>
      </c>
      <c r="X577" s="590">
        <f t="shared" si="276"/>
        <v>-242.95080217668672</v>
      </c>
      <c r="Y577" s="593">
        <f t="shared" si="277"/>
        <v>-62.950802176686722</v>
      </c>
      <c r="AA577" s="150">
        <f t="shared" si="278"/>
        <v>104710</v>
      </c>
      <c r="AB577" s="150">
        <f t="shared" si="279"/>
        <v>10964184100</v>
      </c>
      <c r="AD577" s="592">
        <f t="shared" si="280"/>
        <v>26.542933914244195</v>
      </c>
      <c r="AE577" s="593">
        <f t="shared" si="281"/>
        <v>-28.484558150512125</v>
      </c>
      <c r="AG577" s="592">
        <f t="shared" si="282"/>
        <v>-1.942049876915227</v>
      </c>
      <c r="AH577" s="593">
        <f t="shared" si="283"/>
        <v>-89.577809986310015</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5">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2.4651922237132617</v>
      </c>
      <c r="N578" s="585">
        <f t="shared" si="270"/>
        <v>-1.1531087898367345</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-7.7505109055713834</v>
      </c>
      <c r="X578" s="590">
        <f t="shared" si="276"/>
        <v>-243.97132848915837</v>
      </c>
      <c r="Y578" s="593">
        <f t="shared" si="277"/>
        <v>-63.971328489158367</v>
      </c>
      <c r="AA578" s="150">
        <f t="shared" si="278"/>
        <v>105930</v>
      </c>
      <c r="AB578" s="150">
        <f t="shared" si="279"/>
        <v>11221164900</v>
      </c>
      <c r="AD578" s="592">
        <f t="shared" si="280"/>
        <v>26.520892539884656</v>
      </c>
      <c r="AE578" s="593">
        <f t="shared" si="281"/>
        <v>-28.750648859838716</v>
      </c>
      <c r="AG578" s="592">
        <f t="shared" si="282"/>
        <v>-1.8999344980918467</v>
      </c>
      <c r="AH578" s="593">
        <f t="shared" si="283"/>
        <v>-89.255075403088256</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5">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2.4889343391964531</v>
      </c>
      <c r="N579" s="585">
        <f t="shared" si="270"/>
        <v>-1.1573382885054475</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-7.8471269376560038</v>
      </c>
      <c r="X579" s="590">
        <f t="shared" si="276"/>
        <v>-244.9825359814881</v>
      </c>
      <c r="Y579" s="593">
        <f t="shared" si="277"/>
        <v>-64.982535981488098</v>
      </c>
      <c r="AA579" s="150">
        <f t="shared" si="278"/>
        <v>107150</v>
      </c>
      <c r="AB579" s="150">
        <f t="shared" si="279"/>
        <v>11481122500</v>
      </c>
      <c r="AD579" s="592">
        <f t="shared" si="280"/>
        <v>26.498709644049327</v>
      </c>
      <c r="AE579" s="593">
        <f t="shared" si="281"/>
        <v>-29.015536954658625</v>
      </c>
      <c r="AG579" s="592">
        <f t="shared" si="282"/>
        <v>-1.8572479475698431</v>
      </c>
      <c r="AH579" s="593">
        <f t="shared" si="283"/>
        <v>-88.930751264648094</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5">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2.513305572924839</v>
      </c>
      <c r="N580" s="585">
        <f t="shared" si="270"/>
        <v>-1.1615888331566742</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-7.9458129157488191</v>
      </c>
      <c r="X580" s="590">
        <f t="shared" si="276"/>
        <v>-246.00913828707178</v>
      </c>
      <c r="Y580" s="593">
        <f t="shared" si="277"/>
        <v>-66.009138287071778</v>
      </c>
      <c r="AA580" s="150">
        <f t="shared" si="278"/>
        <v>108400</v>
      </c>
      <c r="AB580" s="150">
        <f t="shared" si="279"/>
        <v>11750560000</v>
      </c>
      <c r="AD580" s="592">
        <f t="shared" si="280"/>
        <v>26.4758373140921</v>
      </c>
      <c r="AE580" s="593">
        <f t="shared" si="281"/>
        <v>-29.285682830833686</v>
      </c>
      <c r="AG580" s="592">
        <f t="shared" si="282"/>
        <v>-1.8129451465625732</v>
      </c>
      <c r="AH580" s="593">
        <f t="shared" si="283"/>
        <v>-88.596871992742834</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5">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2.5377213422344029</v>
      </c>
      <c r="N581" s="585">
        <f t="shared" si="270"/>
        <v>-1.1657576617642773</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-8.0442014597666862</v>
      </c>
      <c r="X581" s="590">
        <f t="shared" si="276"/>
        <v>-247.02634889565317</v>
      </c>
      <c r="Y581" s="593">
        <f t="shared" si="277"/>
        <v>-67.026348895653172</v>
      </c>
      <c r="AA581" s="150">
        <f t="shared" si="278"/>
        <v>109650</v>
      </c>
      <c r="AB581" s="150">
        <f t="shared" si="279"/>
        <v>12023122500</v>
      </c>
      <c r="AD581" s="592">
        <f t="shared" si="280"/>
        <v>26.452822154146599</v>
      </c>
      <c r="AE581" s="593">
        <f t="shared" si="281"/>
        <v>-29.554549494591388</v>
      </c>
      <c r="AG581" s="592">
        <f t="shared" si="282"/>
        <v>-1.7680939344953204</v>
      </c>
      <c r="AH581" s="593">
        <f t="shared" si="283"/>
        <v>-88.261459177775777</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5">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2.5626699873543948</v>
      </c>
      <c r="N582" s="585">
        <f t="shared" si="270"/>
        <v>-1.169927957217856</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-8.1442633849756074</v>
      </c>
      <c r="X582" s="590">
        <f t="shared" si="276"/>
        <v>-248.05442728866026</v>
      </c>
      <c r="Y582" s="593">
        <f t="shared" si="277"/>
        <v>-68.054427288660264</v>
      </c>
      <c r="AA582" s="150">
        <f t="shared" si="278"/>
        <v>110925</v>
      </c>
      <c r="AB582" s="150">
        <f t="shared" si="279"/>
        <v>12304355625</v>
      </c>
      <c r="AD582" s="592">
        <f t="shared" si="280"/>
        <v>26.429202530318634</v>
      </c>
      <c r="AE582" s="593">
        <f t="shared" si="281"/>
        <v>-29.82746778885916</v>
      </c>
      <c r="AG582" s="592">
        <f t="shared" si="282"/>
        <v>-1.7218056004624693</v>
      </c>
      <c r="AH582" s="593">
        <f t="shared" si="283"/>
        <v>-87.917822264013182</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5">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2.5876623409537038</v>
      </c>
      <c r="N583" s="585">
        <f t="shared" si="270"/>
        <v>-1.1740177669414193</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-8.2440396009180823</v>
      </c>
      <c r="X583" s="590">
        <f t="shared" si="276"/>
        <v>-249.07313343114467</v>
      </c>
      <c r="Y583" s="593">
        <f t="shared" si="277"/>
        <v>-69.073133431144669</v>
      </c>
      <c r="AA583" s="150">
        <f t="shared" si="278"/>
        <v>112200</v>
      </c>
      <c r="AB583" s="150">
        <f t="shared" si="279"/>
        <v>12588840000</v>
      </c>
      <c r="AD583" s="592">
        <f t="shared" si="280"/>
        <v>26.405440330230981</v>
      </c>
      <c r="AE583" s="593">
        <f t="shared" si="281"/>
        <v>-30.099039867859521</v>
      </c>
      <c r="AG583" s="592">
        <f t="shared" si="282"/>
        <v>-1.6749958222716979</v>
      </c>
      <c r="AH583" s="593">
        <f t="shared" si="283"/>
        <v>-87.572715099030162</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5">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2.6133849658163655</v>
      </c>
      <c r="N584" s="585">
        <f t="shared" si="270"/>
        <v>-1.1781383011747044</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-8.3462688335022825</v>
      </c>
      <c r="X584" s="590">
        <f t="shared" si="276"/>
        <v>-250.11024749107773</v>
      </c>
      <c r="Y584" s="593">
        <f t="shared" si="277"/>
        <v>-70.110247491077729</v>
      </c>
      <c r="AA584" s="150">
        <f t="shared" si="278"/>
        <v>113510</v>
      </c>
      <c r="AB584" s="150">
        <f t="shared" si="279"/>
        <v>12884520100</v>
      </c>
      <c r="AD584" s="592">
        <f t="shared" si="280"/>
        <v>26.380880497390716</v>
      </c>
      <c r="AE584" s="593">
        <f t="shared" si="281"/>
        <v>-30.376657516397032</v>
      </c>
      <c r="AG584" s="592">
        <f t="shared" si="282"/>
        <v>-1.6263820387810146</v>
      </c>
      <c r="AH584" s="593">
        <f t="shared" si="283"/>
        <v>-87.216662603077552</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5">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2.6391510974405197</v>
      </c>
      <c r="N585" s="585">
        <f t="shared" si="270"/>
        <v>-1.1821784450317874</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-8.4482195675560785</v>
      </c>
      <c r="X585" s="590">
        <f t="shared" si="276"/>
        <v>-251.1378810227113</v>
      </c>
      <c r="Y585" s="593">
        <f t="shared" si="277"/>
        <v>-71.137881022711298</v>
      </c>
      <c r="AA585" s="150">
        <f t="shared" si="278"/>
        <v>114820</v>
      </c>
      <c r="AB585" s="150">
        <f t="shared" si="279"/>
        <v>13183632400</v>
      </c>
      <c r="AD585" s="592">
        <f t="shared" si="280"/>
        <v>26.356176570978391</v>
      </c>
      <c r="AE585" s="593">
        <f t="shared" si="281"/>
        <v>-30.652839990567301</v>
      </c>
      <c r="AG585" s="592">
        <f t="shared" si="282"/>
        <v>-1.5772655316014108</v>
      </c>
      <c r="AH585" s="593">
        <f t="shared" si="283"/>
        <v>-86.859174767079551</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5">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2.6654524029252102</v>
      </c>
      <c r="N586" s="585">
        <f t="shared" si="270"/>
        <v>-1.1862152638158978</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-8.5518406404484342</v>
      </c>
      <c r="X586" s="590">
        <f t="shared" si="276"/>
        <v>-252.1755823701439</v>
      </c>
      <c r="Y586" s="593">
        <f t="shared" si="277"/>
        <v>-72.1755823701439</v>
      </c>
      <c r="AA586" s="150">
        <f t="shared" si="278"/>
        <v>116155</v>
      </c>
      <c r="AB586" s="150">
        <f t="shared" si="279"/>
        <v>13491984025</v>
      </c>
      <c r="AD586" s="592">
        <f t="shared" si="280"/>
        <v>26.330856279188275</v>
      </c>
      <c r="AE586" s="593">
        <f t="shared" si="281"/>
        <v>-30.932810187832494</v>
      </c>
      <c r="AG586" s="592">
        <f t="shared" si="282"/>
        <v>-1.5267175552426615</v>
      </c>
      <c r="AH586" s="593">
        <f t="shared" si="283"/>
        <v>-86.493442321038174</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5">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2.6917962951453394</v>
      </c>
      <c r="N587" s="585">
        <f t="shared" si="270"/>
        <v>-1.1901731315129107</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-8.6551946902813732</v>
      </c>
      <c r="X587" s="590">
        <f t="shared" si="276"/>
        <v>-253.20385901516096</v>
      </c>
      <c r="Y587" s="593">
        <f t="shared" si="277"/>
        <v>-73.203859015160958</v>
      </c>
      <c r="AA587" s="150">
        <f t="shared" si="278"/>
        <v>117490</v>
      </c>
      <c r="AB587" s="150">
        <f t="shared" si="279"/>
        <v>13803900100</v>
      </c>
      <c r="AD587" s="592">
        <f t="shared" si="280"/>
        <v>26.305393054210072</v>
      </c>
      <c r="AE587" s="593">
        <f t="shared" si="281"/>
        <v>-31.211277536343722</v>
      </c>
      <c r="AG587" s="592">
        <f t="shared" si="282"/>
        <v>-1.4756929430869308</v>
      </c>
      <c r="AH587" s="593">
        <f t="shared" si="283"/>
        <v>-86.12632489157788</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5">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2.7188738290666299</v>
      </c>
      <c r="N588" s="585">
        <f t="shared" si="270"/>
        <v>-1.1941549592282834</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-8.7609917095907761</v>
      </c>
      <c r="X588" s="590">
        <f t="shared" si="276"/>
        <v>-254.24951163318869</v>
      </c>
      <c r="Y588" s="593">
        <f t="shared" si="277"/>
        <v>-74.249511633188689</v>
      </c>
      <c r="AA588" s="150">
        <f t="shared" si="278"/>
        <v>118860</v>
      </c>
      <c r="AB588" s="150">
        <f t="shared" si="279"/>
        <v>14127699600</v>
      </c>
      <c r="AD588" s="592">
        <f t="shared" si="280"/>
        <v>26.279117158594254</v>
      </c>
      <c r="AE588" s="593">
        <f t="shared" si="281"/>
        <v>-31.495477473263026</v>
      </c>
      <c r="AG588" s="592">
        <f t="shared" si="282"/>
        <v>-1.422857160261356</v>
      </c>
      <c r="AH588" s="593">
        <f t="shared" si="283"/>
        <v>-85.748191813803189</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5">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2.7459936200616957</v>
      </c>
      <c r="N589" s="585">
        <f t="shared" ref="N589:N613" si="302">-ATAN(G589/z_RHP)</f>
        <v>-1.1980581977161138</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-8.8665292480936344</v>
      </c>
      <c r="X589" s="590">
        <f t="shared" ref="X589:X613" si="308">((L589+R589+N589+V589)-(J589+P589+T589))*radconv</f>
        <v>-255.28567375407192</v>
      </c>
      <c r="Y589" s="593">
        <f t="shared" ref="Y589:Y613" si="309">IF(X589&gt;0,X589,X589+180)</f>
        <v>-75.285673754071922</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-1.3695631060970861</v>
      </c>
      <c r="AH589" s="593">
        <f t="shared" ref="AH589:AH613" si="315">(L589+N589-(J589+V589))*radconv</f>
        <v>-85.368695596900068</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5">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2.8612477792665501</v>
      </c>
      <c r="N590" s="585">
        <f t="shared" si="302"/>
        <v>-1.2137612054796056</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-9.310684709696833</v>
      </c>
      <c r="X590" s="590">
        <f t="shared" si="308"/>
        <v>-259.57203881477068</v>
      </c>
      <c r="Y590" s="593">
        <f t="shared" si="309"/>
        <v>-79.572038814770679</v>
      </c>
      <c r="AA590" s="150">
        <f t="shared" si="310"/>
        <v>126030</v>
      </c>
      <c r="AB590" s="150">
        <f t="shared" si="311"/>
        <v>15883560900</v>
      </c>
      <c r="AD590" s="592">
        <f t="shared" si="312"/>
        <v>26.1393417947017</v>
      </c>
      <c r="AE590" s="593">
        <f t="shared" si="313"/>
        <v>-32.95677510173924</v>
      </c>
      <c r="AG590" s="592">
        <f t="shared" si="314"/>
        <v>-1.1393063100647502</v>
      </c>
      <c r="AH590" s="593">
        <f t="shared" si="315"/>
        <v>-83.747855513896326</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5">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2.9771527543082423</v>
      </c>
      <c r="N591" s="585">
        <f t="shared" si="302"/>
        <v>-1.2282448743277015</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-9.7510683236267663</v>
      </c>
      <c r="X591" s="590">
        <f t="shared" si="308"/>
        <v>-263.70738795664573</v>
      </c>
      <c r="Y591" s="593">
        <f t="shared" si="309"/>
        <v>-83.707387956645732</v>
      </c>
      <c r="AA591" s="150">
        <f t="shared" si="310"/>
        <v>131830</v>
      </c>
      <c r="AB591" s="150">
        <f t="shared" si="311"/>
        <v>17379148900</v>
      </c>
      <c r="AD591" s="592">
        <f t="shared" si="312"/>
        <v>26.023740080693585</v>
      </c>
      <c r="AE591" s="593">
        <f t="shared" si="313"/>
        <v>-34.106611219246382</v>
      </c>
      <c r="AG591" s="592">
        <f t="shared" si="314"/>
        <v>-0.90248694565702059</v>
      </c>
      <c r="AH591" s="593">
        <f t="shared" si="315"/>
        <v>-82.105646893675342</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5">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3.2330777590095252</v>
      </c>
      <c r="N592" s="585">
        <f t="shared" si="302"/>
        <v>-1.256336534071901</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-10.705837092569388</v>
      </c>
      <c r="X592" s="590">
        <f t="shared" si="308"/>
        <v>-272.30901766406913</v>
      </c>
      <c r="Y592" s="593">
        <f t="shared" si="309"/>
        <v>-92.309017664069131</v>
      </c>
      <c r="AA592" s="150">
        <f t="shared" si="310"/>
        <v>144540</v>
      </c>
      <c r="AB592" s="150">
        <f t="shared" si="311"/>
        <v>20891811600</v>
      </c>
      <c r="AD592" s="592">
        <f t="shared" si="312"/>
        <v>25.763765043160276</v>
      </c>
      <c r="AE592" s="593">
        <f t="shared" si="313"/>
        <v>-36.525312484200356</v>
      </c>
      <c r="AG592" s="592">
        <f t="shared" si="314"/>
        <v>-0.36509654468272118</v>
      </c>
      <c r="AH592" s="593">
        <f t="shared" si="315"/>
        <v>-78.437488727128923</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5">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3.5164582236683724</v>
      </c>
      <c r="N593" s="585">
        <f t="shared" si="302"/>
        <v>-1.2824397437563355</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-11.743017783645941</v>
      </c>
      <c r="X593" s="590">
        <f t="shared" si="308"/>
        <v>-281.14836231029915</v>
      </c>
      <c r="Y593" s="593">
        <f t="shared" si="309"/>
        <v>-101.14836231029915</v>
      </c>
      <c r="AA593" s="150">
        <f t="shared" si="310"/>
        <v>158490</v>
      </c>
      <c r="AB593" s="150">
        <f t="shared" si="311"/>
        <v>25119080100</v>
      </c>
      <c r="AD593" s="592">
        <f t="shared" si="312"/>
        <v>25.470245616071296</v>
      </c>
      <c r="AE593" s="593">
        <f t="shared" si="313"/>
        <v>-39.022104297143159</v>
      </c>
      <c r="AG593" s="592">
        <f t="shared" si="314"/>
        <v>0.24830746685978683</v>
      </c>
      <c r="AH593" s="593">
        <f t="shared" si="315"/>
        <v>-74.299634738006489</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5">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3.8293837746622881</v>
      </c>
      <c r="N594" s="585">
        <f t="shared" si="302"/>
        <v>-1.3065947614279134</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-12.875561261676879</v>
      </c>
      <c r="X594" s="590">
        <f t="shared" si="308"/>
        <v>-290.28650876665517</v>
      </c>
      <c r="Y594" s="593">
        <f t="shared" si="309"/>
        <v>-110.28650876665517</v>
      </c>
      <c r="AA594" s="150">
        <f t="shared" si="310"/>
        <v>173780</v>
      </c>
      <c r="AB594" s="150">
        <f t="shared" si="311"/>
        <v>30199488400</v>
      </c>
      <c r="AD594" s="592">
        <f t="shared" si="312"/>
        <v>25.141890801048167</v>
      </c>
      <c r="AE594" s="593">
        <f t="shared" si="313"/>
        <v>-41.574744849106672</v>
      </c>
      <c r="AG594" s="592">
        <f t="shared" si="314"/>
        <v>0.94635870238389419</v>
      </c>
      <c r="AH594" s="593">
        <f t="shared" si="315"/>
        <v>-69.608107938241659</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5">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4.1747635588853642</v>
      </c>
      <c r="N595" s="585">
        <f t="shared" si="302"/>
        <v>-1.3289099379352802</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-14.125996256260727</v>
      </c>
      <c r="X595" s="590">
        <f t="shared" si="308"/>
        <v>-299.84855366466104</v>
      </c>
      <c r="Y595" s="593">
        <f t="shared" si="309"/>
        <v>-119.84855366466104</v>
      </c>
      <c r="AA595" s="150">
        <f t="shared" si="310"/>
        <v>190550</v>
      </c>
      <c r="AB595" s="150">
        <f t="shared" si="311"/>
        <v>36309302500</v>
      </c>
      <c r="AD595" s="592">
        <f t="shared" si="312"/>
        <v>24.777313356132204</v>
      </c>
      <c r="AE595" s="593">
        <f t="shared" si="313"/>
        <v>-44.16407882802968</v>
      </c>
      <c r="AG595" s="592">
        <f t="shared" si="314"/>
        <v>1.7473665885215559</v>
      </c>
      <c r="AH595" s="593">
        <f t="shared" si="315"/>
        <v>-64.223581268147996</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5">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4.5553091368915322</v>
      </c>
      <c r="N596" s="585">
        <f t="shared" si="302"/>
        <v>-1.3494697130941502</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-15.52993161299705</v>
      </c>
      <c r="X596" s="590">
        <f t="shared" si="308"/>
        <v>-310.0171836622448</v>
      </c>
      <c r="Y596" s="593">
        <f t="shared" si="309"/>
        <v>-130.0171836622448</v>
      </c>
      <c r="AA596" s="150">
        <f t="shared" si="310"/>
        <v>208930</v>
      </c>
      <c r="AB596" s="150">
        <f t="shared" si="311"/>
        <v>43651744900</v>
      </c>
      <c r="AD596" s="592">
        <f t="shared" si="312"/>
        <v>24.376186454266442</v>
      </c>
      <c r="AE596" s="593">
        <f t="shared" si="313"/>
        <v>-46.766099675312738</v>
      </c>
      <c r="AG596" s="592">
        <f t="shared" si="314"/>
        <v>2.6843886066356153</v>
      </c>
      <c r="AH596" s="593">
        <f t="shared" si="315"/>
        <v>-57.942196338408152</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5">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4.974566988676572</v>
      </c>
      <c r="N597" s="585">
        <f t="shared" si="302"/>
        <v>-1.3683946878821338</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-17.155518291613376</v>
      </c>
      <c r="X597" s="590">
        <f t="shared" si="308"/>
        <v>-321.1009551648151</v>
      </c>
      <c r="Y597" s="593">
        <f t="shared" si="309"/>
        <v>-141.1009551648151</v>
      </c>
      <c r="AA597" s="150">
        <f t="shared" si="310"/>
        <v>229090</v>
      </c>
      <c r="AB597" s="150">
        <f t="shared" si="311"/>
        <v>52482228100</v>
      </c>
      <c r="AD597" s="592">
        <f t="shared" si="312"/>
        <v>23.938225118154275</v>
      </c>
      <c r="AE597" s="593">
        <f t="shared" si="313"/>
        <v>-49.360242832493199</v>
      </c>
      <c r="AG597" s="592">
        <f t="shared" si="314"/>
        <v>3.8234184271207869</v>
      </c>
      <c r="AH597" s="593">
        <f t="shared" si="315"/>
        <v>-50.439625135901387</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5">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5.4358857836825543</v>
      </c>
      <c r="N598" s="585">
        <f t="shared" si="302"/>
        <v>-1.3857799218814737</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-19.136640343322668</v>
      </c>
      <c r="X598" s="590">
        <f t="shared" si="308"/>
        <v>-333.56747929824871</v>
      </c>
      <c r="Y598" s="593">
        <f t="shared" si="309"/>
        <v>-153.56747929824871</v>
      </c>
      <c r="AA598" s="150">
        <f t="shared" si="310"/>
        <v>251190</v>
      </c>
      <c r="AB598" s="150">
        <f t="shared" si="311"/>
        <v>63096416100</v>
      </c>
      <c r="AD598" s="592">
        <f t="shared" si="312"/>
        <v>23.464301545813719</v>
      </c>
      <c r="AE598" s="593">
        <f t="shared" si="313"/>
        <v>-51.923002738973317</v>
      </c>
      <c r="AG598" s="592">
        <f t="shared" si="314"/>
        <v>5.2978714505599527</v>
      </c>
      <c r="AH598" s="593">
        <f t="shared" si="315"/>
        <v>-41.227411040966132</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5">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5.9432470855344546</v>
      </c>
      <c r="N599" s="585">
        <f t="shared" si="302"/>
        <v>-1.4017339269094546</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-21.774663761355271</v>
      </c>
      <c r="X599" s="590">
        <f t="shared" si="308"/>
        <v>-348.14034176465094</v>
      </c>
      <c r="Y599" s="593">
        <f t="shared" si="309"/>
        <v>-168.14034176465094</v>
      </c>
      <c r="AA599" s="150">
        <f t="shared" si="310"/>
        <v>275420</v>
      </c>
      <c r="AB599" s="150">
        <f t="shared" si="311"/>
        <v>75856176400</v>
      </c>
      <c r="AD599" s="592">
        <f t="shared" si="312"/>
        <v>22.955562257354515</v>
      </c>
      <c r="AE599" s="593">
        <f t="shared" si="313"/>
        <v>-54.434142428718481</v>
      </c>
      <c r="AG599" s="592">
        <f t="shared" si="314"/>
        <v>7.4093103077637341</v>
      </c>
      <c r="AH599" s="593">
        <f t="shared" si="315"/>
        <v>-29.564483425816697</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5">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6.5012708722302497</v>
      </c>
      <c r="N600" s="585">
        <f t="shared" si="302"/>
        <v>-1.416367164524331</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-25.864316141720085</v>
      </c>
      <c r="X600" s="590">
        <f t="shared" si="308"/>
        <v>-365.80415552931055</v>
      </c>
      <c r="Y600" s="593">
        <f t="shared" si="309"/>
        <v>-185.80415552931055</v>
      </c>
      <c r="AA600" s="150">
        <f t="shared" si="310"/>
        <v>302000</v>
      </c>
      <c r="AB600" s="150">
        <f t="shared" si="311"/>
        <v>91204000000</v>
      </c>
      <c r="AD600" s="592">
        <f t="shared" si="312"/>
        <v>22.413412245024659</v>
      </c>
      <c r="AE600" s="593">
        <f t="shared" si="313"/>
        <v>-56.876468905518337</v>
      </c>
      <c r="AG600" s="592">
        <f t="shared" si="314"/>
        <v>10.953350516949467</v>
      </c>
      <c r="AH600" s="593">
        <f t="shared" si="315"/>
        <v>-14.450669380713583</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5">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7.1141654852837588</v>
      </c>
      <c r="N601" s="585">
        <f t="shared" si="302"/>
        <v>-1.4297646485619331</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-34.556747019003502</v>
      </c>
      <c r="X601" s="590">
        <f t="shared" si="308"/>
        <v>-387.36515910817968</v>
      </c>
      <c r="Y601" s="593">
        <f t="shared" si="309"/>
        <v>-207.36515910817968</v>
      </c>
      <c r="AA601" s="150">
        <f t="shared" si="310"/>
        <v>331130</v>
      </c>
      <c r="AB601" s="150">
        <f t="shared" si="311"/>
        <v>109647076900</v>
      </c>
      <c r="AD601" s="592">
        <f t="shared" si="312"/>
        <v>21.840462199252933</v>
      </c>
      <c r="AE601" s="593">
        <f t="shared" si="313"/>
        <v>-59.231846228384406</v>
      </c>
      <c r="AG601" s="592">
        <f t="shared" si="314"/>
        <v>19.083654442631328</v>
      </c>
      <c r="AH601" s="593">
        <f t="shared" si="315"/>
        <v>4.9379258193765798</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5">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7.7876187291201884</v>
      </c>
      <c r="N602" s="585">
        <f t="shared" si="302"/>
        <v>-1.4420318389767108</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-39.047564516265815</v>
      </c>
      <c r="X602" s="590">
        <f t="shared" si="308"/>
        <v>-232.22651748221608</v>
      </c>
      <c r="Y602" s="593">
        <f t="shared" si="309"/>
        <v>-52.226517482216082</v>
      </c>
      <c r="AA602" s="150">
        <f t="shared" si="310"/>
        <v>363080</v>
      </c>
      <c r="AB602" s="150">
        <f t="shared" si="311"/>
        <v>131827086400</v>
      </c>
      <c r="AD602" s="592">
        <f t="shared" si="312"/>
        <v>21.238633749384725</v>
      </c>
      <c r="AE602" s="593">
        <f t="shared" si="313"/>
        <v>-61.489398060057276</v>
      </c>
      <c r="AG602" s="592">
        <f t="shared" si="314"/>
        <v>22.998070278197623</v>
      </c>
      <c r="AH602" s="593">
        <f t="shared" si="315"/>
        <v>-151.98412259231108</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5">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8.5271169949532286</v>
      </c>
      <c r="N603" s="585">
        <f t="shared" si="302"/>
        <v>-1.4532529108569274</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-30.01250579194004</v>
      </c>
      <c r="X603" s="590">
        <f t="shared" si="308"/>
        <v>-257.44515414781006</v>
      </c>
      <c r="Y603" s="593">
        <f t="shared" si="309"/>
        <v>-77.445154147810058</v>
      </c>
      <c r="AA603" s="150">
        <f t="shared" si="310"/>
        <v>398110</v>
      </c>
      <c r="AB603" s="150">
        <f t="shared" si="311"/>
        <v>158491572100</v>
      </c>
      <c r="AD603" s="592">
        <f t="shared" si="312"/>
        <v>20.610685423701931</v>
      </c>
      <c r="AE603" s="593">
        <f t="shared" si="313"/>
        <v>-63.638566210118348</v>
      </c>
      <c r="AG603" s="592">
        <f t="shared" si="314"/>
        <v>13.37582127201915</v>
      </c>
      <c r="AH603" s="593">
        <f t="shared" si="315"/>
        <v>-128.14796684987999</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5">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9.3389976138866011</v>
      </c>
      <c r="N604" s="585">
        <f t="shared" si="302"/>
        <v>-1.4635127708920281</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-27.960206536044314</v>
      </c>
      <c r="X604" s="590">
        <f t="shared" si="308"/>
        <v>-280.10362171784152</v>
      </c>
      <c r="Y604" s="593">
        <f t="shared" si="309"/>
        <v>-100.10362171784152</v>
      </c>
      <c r="AA604" s="150">
        <f t="shared" si="310"/>
        <v>436520</v>
      </c>
      <c r="AB604" s="150">
        <f t="shared" si="311"/>
        <v>190549710400</v>
      </c>
      <c r="AD604" s="592">
        <f t="shared" si="312"/>
        <v>19.959167576517196</v>
      </c>
      <c r="AE604" s="593">
        <f t="shared" si="313"/>
        <v>-65.672917710223075</v>
      </c>
      <c r="AG604" s="592">
        <f t="shared" si="314"/>
        <v>10.729255079617312</v>
      </c>
      <c r="AH604" s="593">
        <f t="shared" si="315"/>
        <v>-106.46230407530186</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5">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10.230027608880333</v>
      </c>
      <c r="N605" s="585">
        <f t="shared" si="302"/>
        <v>-1.4728885319282459</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-27.965009368180993</v>
      </c>
      <c r="X605" s="590">
        <f t="shared" si="308"/>
        <v>-299.83212404601437</v>
      </c>
      <c r="Y605" s="593">
        <f t="shared" si="309"/>
        <v>-119.83212404601437</v>
      </c>
      <c r="AA605" s="150">
        <f t="shared" si="310"/>
        <v>478630</v>
      </c>
      <c r="AB605" s="150">
        <f t="shared" si="311"/>
        <v>229086676900</v>
      </c>
      <c r="AD605" s="592">
        <f t="shared" si="312"/>
        <v>19.286745881814337</v>
      </c>
      <c r="AE605" s="593">
        <f t="shared" si="313"/>
        <v>-67.588373437493217</v>
      </c>
      <c r="AG605" s="592">
        <f t="shared" si="314"/>
        <v>10.136968734181229</v>
      </c>
      <c r="AH605" s="593">
        <f t="shared" si="315"/>
        <v>-87.290158473717597</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5">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11.208038570002735</v>
      </c>
      <c r="N606" s="585">
        <f t="shared" si="302"/>
        <v>-1.4814558484946738</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-28.995646325284497</v>
      </c>
      <c r="X606" s="590">
        <f t="shared" si="308"/>
        <v>-318.25117282231275</v>
      </c>
      <c r="Y606" s="593">
        <f t="shared" si="309"/>
        <v>-138.25117282231275</v>
      </c>
      <c r="AA606" s="150">
        <f t="shared" si="310"/>
        <v>524810</v>
      </c>
      <c r="AB606" s="150">
        <f t="shared" si="311"/>
        <v>275425536100</v>
      </c>
      <c r="AD606" s="592">
        <f t="shared" si="312"/>
        <v>18.595693084520853</v>
      </c>
      <c r="AE606" s="593">
        <f t="shared" si="313"/>
        <v>-69.384144047341096</v>
      </c>
      <c r="AG606" s="592">
        <f t="shared" si="314"/>
        <v>10.572045147025859</v>
      </c>
      <c r="AH606" s="593">
        <f t="shared" si="315"/>
        <v>-69.006620913056381</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5">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12.281080202519037</v>
      </c>
      <c r="N607" s="585">
        <f t="shared" si="302"/>
        <v>-1.4892800165465092</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-30.938719535139498</v>
      </c>
      <c r="X607" s="590">
        <f t="shared" si="308"/>
        <v>-338.17574909551945</v>
      </c>
      <c r="Y607" s="593">
        <f t="shared" si="309"/>
        <v>-158.17574909551945</v>
      </c>
      <c r="AA607" s="150">
        <f t="shared" si="310"/>
        <v>575440</v>
      </c>
      <c r="AB607" s="150">
        <f t="shared" si="311"/>
        <v>331131193600</v>
      </c>
      <c r="AD607" s="592">
        <f t="shared" si="312"/>
        <v>17.888510358934901</v>
      </c>
      <c r="AE607" s="593">
        <f t="shared" si="313"/>
        <v>-71.060482689137473</v>
      </c>
      <c r="AG607" s="592">
        <f t="shared" si="314"/>
        <v>11.926087808753953</v>
      </c>
      <c r="AH607" s="593">
        <f t="shared" si="315"/>
        <v>-48.794292573065896</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5">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13.458479218926064</v>
      </c>
      <c r="N608" s="585">
        <f t="shared" si="302"/>
        <v>-1.4964251869856056</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-34.908477655457474</v>
      </c>
      <c r="X608" s="590">
        <f t="shared" si="308"/>
        <v>-364.47273930106513</v>
      </c>
      <c r="Y608" s="593">
        <f t="shared" si="309"/>
        <v>-184.47273930106513</v>
      </c>
      <c r="AA608" s="150">
        <f t="shared" si="310"/>
        <v>630960</v>
      </c>
      <c r="AB608" s="150">
        <f t="shared" si="311"/>
        <v>398110521600</v>
      </c>
      <c r="AD608" s="592">
        <f t="shared" si="312"/>
        <v>17.167189523716445</v>
      </c>
      <c r="AE608" s="593">
        <f t="shared" si="313"/>
        <v>-72.62015908377316</v>
      </c>
      <c r="AG608" s="592">
        <f t="shared" si="314"/>
        <v>15.318362842904456</v>
      </c>
      <c r="AH608" s="593">
        <f t="shared" si="315"/>
        <v>-21.786196402053374</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5">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14.749991824240702</v>
      </c>
      <c r="N609" s="585">
        <f t="shared" si="302"/>
        <v>-1.502947634739898</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-53.141460584222848</v>
      </c>
      <c r="X609" s="590">
        <f t="shared" si="308"/>
        <v>-403.7245424721371</v>
      </c>
      <c r="Y609" s="593">
        <f t="shared" si="309"/>
        <v>-223.7245424721371</v>
      </c>
      <c r="AA609" s="150">
        <f t="shared" si="310"/>
        <v>691830</v>
      </c>
      <c r="AB609" s="150">
        <f t="shared" si="311"/>
        <v>478628748900</v>
      </c>
      <c r="AD609" s="592">
        <f t="shared" si="312"/>
        <v>16.433808127488739</v>
      </c>
      <c r="AE609" s="593">
        <f t="shared" si="313"/>
        <v>-74.066596163650985</v>
      </c>
      <c r="AG609" s="592">
        <f t="shared" si="314"/>
        <v>32.990936831582154</v>
      </c>
      <c r="AH609" s="593">
        <f t="shared" si="315"/>
        <v>18.597415009453961</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5">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16.166864170087432</v>
      </c>
      <c r="N610" s="585">
        <f t="shared" si="302"/>
        <v>-1.5089019011593732</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-38.786344553648682</v>
      </c>
      <c r="X610" s="590">
        <f t="shared" si="308"/>
        <v>-268.58368411454899</v>
      </c>
      <c r="Y610" s="593">
        <f t="shared" si="309"/>
        <v>-88.583684114548987</v>
      </c>
      <c r="AA610" s="150">
        <f t="shared" si="310"/>
        <v>758580</v>
      </c>
      <c r="AB610" s="150">
        <f t="shared" si="311"/>
        <v>575443616400</v>
      </c>
      <c r="AD610" s="592">
        <f t="shared" si="312"/>
        <v>15.689933061058882</v>
      </c>
      <c r="AE610" s="593">
        <f t="shared" si="313"/>
        <v>-75.404801654260027</v>
      </c>
      <c r="AG610" s="592">
        <f t="shared" si="314"/>
        <v>18.098029654902756</v>
      </c>
      <c r="AH610" s="593">
        <f t="shared" si="315"/>
        <v>-114.9960932190978</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5">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17.72077148135282</v>
      </c>
      <c r="N611" s="585">
        <f t="shared" si="302"/>
        <v>-1.51433538179005</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-36.567162117808934</v>
      </c>
      <c r="X611" s="590">
        <f t="shared" si="308"/>
        <v>-302.85285505973297</v>
      </c>
      <c r="Y611" s="593">
        <f t="shared" si="309"/>
        <v>-122.85285505973297</v>
      </c>
      <c r="AA611" s="150">
        <f t="shared" si="310"/>
        <v>831760</v>
      </c>
      <c r="AB611" s="150">
        <f t="shared" si="311"/>
        <v>691824697600</v>
      </c>
      <c r="AD611" s="592">
        <f t="shared" si="312"/>
        <v>14.937269713483872</v>
      </c>
      <c r="AE611" s="593">
        <f t="shared" si="313"/>
        <v>-76.639805737207752</v>
      </c>
      <c r="AG611" s="592">
        <f t="shared" si="314"/>
        <v>15.36968700442303</v>
      </c>
      <c r="AH611" s="593">
        <f t="shared" si="315"/>
        <v>-78.773222208658979</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5">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19.425304024496118</v>
      </c>
      <c r="N612" s="585">
        <f t="shared" si="302"/>
        <v>-1.519294316233796</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-37.885219440791367</v>
      </c>
      <c r="X612" s="590">
        <f t="shared" si="308"/>
        <v>-332.37094283880731</v>
      </c>
      <c r="Y612" s="593">
        <f t="shared" si="309"/>
        <v>-152.37094283880731</v>
      </c>
      <c r="AA612" s="150">
        <f t="shared" si="310"/>
        <v>912010</v>
      </c>
      <c r="AB612" s="150">
        <f t="shared" si="311"/>
        <v>831762240100</v>
      </c>
      <c r="AD612" s="592">
        <f t="shared" si="312"/>
        <v>14.176956283645154</v>
      </c>
      <c r="AE612" s="593">
        <f t="shared" si="313"/>
        <v>-77.777689946560542</v>
      </c>
      <c r="AG612" s="592">
        <f t="shared" si="314"/>
        <v>16.213128122927007</v>
      </c>
      <c r="AH612" s="593">
        <f t="shared" si="315"/>
        <v>-46.907355941921487</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5">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21.294693221807051</v>
      </c>
      <c r="N613" s="585">
        <f t="shared" si="302"/>
        <v>-1.5238189932429864</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-44.080956054153106</v>
      </c>
      <c r="X613" s="590">
        <f t="shared" si="308"/>
        <v>-373.70113423387892</v>
      </c>
      <c r="Y613" s="593">
        <f t="shared" si="309"/>
        <v>-193.70113423387892</v>
      </c>
      <c r="AA613" s="150">
        <f t="shared" si="310"/>
        <v>1000000</v>
      </c>
      <c r="AB613" s="150">
        <f t="shared" si="311"/>
        <v>1000000000000</v>
      </c>
      <c r="AD613" s="592">
        <f t="shared" si="312"/>
        <v>13.410262120479651</v>
      </c>
      <c r="AE613" s="593">
        <f t="shared" si="313"/>
        <v>-78.82423353298563</v>
      </c>
      <c r="AG613" s="592">
        <f t="shared" si="314"/>
        <v>21.974987122517298</v>
      </c>
      <c r="AH613" s="593">
        <f t="shared" si="315"/>
        <v>-2.852951623453253</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5">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5">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5">
      <c r="G616" s="150" t="s">
        <v>739</v>
      </c>
      <c r="M616" s="584"/>
      <c r="N616" s="585"/>
      <c r="W616" s="589"/>
      <c r="X616" s="590"/>
      <c r="Y616" s="601"/>
      <c r="AG616" s="592"/>
      <c r="AH616" s="593"/>
    </row>
    <row r="617" spans="7:44" x14ac:dyDescent="0.25">
      <c r="G617" s="602">
        <f>W4*1000</f>
        <v>34081.5</v>
      </c>
      <c r="H617" s="602"/>
      <c r="I617" s="603">
        <f t="shared" ref="I617:I626" si="329">SQRT(1+(G617/pole1)^2)</f>
        <v>33.266275941775945</v>
      </c>
      <c r="J617" s="595">
        <f t="shared" ref="J617:J626" si="330">ATAN(G617/pole1)</f>
        <v>1.5407313243772118</v>
      </c>
      <c r="K617" s="595">
        <f t="shared" ref="K617:K626" si="331">SQRT(1+(G617/Zero1)^2)</f>
        <v>1.0001695614906143</v>
      </c>
      <c r="L617" s="596">
        <f t="shared" ref="L617:L626" si="332">ATAN(G617/Zero1)</f>
        <v>1.8413991138874011E-2</v>
      </c>
      <c r="M617" s="584">
        <v>1</v>
      </c>
      <c r="N617" s="585">
        <v>0</v>
      </c>
      <c r="O617" s="603">
        <f t="shared" ref="O617:O626" si="333">SQRT(1+(G617/Pole2)^2)</f>
        <v>61672.429391068952</v>
      </c>
      <c r="P617" s="604">
        <f t="shared" ref="P617:P626" si="334">ATAN(G617/Pole2)</f>
        <v>1.5707801120939369</v>
      </c>
      <c r="Q617" s="595">
        <f t="shared" ref="Q617:Q626" si="335">SQRT(1+(G617/Zero2)^2)</f>
        <v>25.716295856301251</v>
      </c>
      <c r="R617" s="596">
        <f t="shared" ref="R617:R626" si="336">ATAN(G617/Zero2)</f>
        <v>1.5319006710815177</v>
      </c>
      <c r="S617" s="603">
        <f t="shared" ref="S617:S626" si="337">SQRT(1+(G617/pole4)^2)</f>
        <v>1.014567841717597</v>
      </c>
      <c r="T617" s="604">
        <f t="shared" ref="T617:T626" si="338">ATAN(G617/pole4)</f>
        <v>0.16966532349149152</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27.485174958784601</v>
      </c>
      <c r="AE617" s="593">
        <f>(R617-(P617+T617))*radconv</f>
        <v>-11.948734859277163</v>
      </c>
      <c r="AG617" s="592" t="e">
        <f>20*LOG10((K617*M617/(I617*U617))*Acs*Am)</f>
        <v>#DIV/0!</v>
      </c>
      <c r="AH617" s="593" t="e">
        <f>(L617+N617-(J617+V617))*radconv</f>
        <v>#DIV/0!</v>
      </c>
    </row>
    <row r="618" spans="7:44" x14ac:dyDescent="0.25">
      <c r="G618" s="602">
        <f>G617</f>
        <v>34081.5</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5">
      <c r="G619" s="150">
        <f>G618</f>
        <v>34081.5</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5">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5">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5">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5">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5">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5">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5">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8" thickBot="1" x14ac:dyDescent="0.3">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5">
      <c r="G628" s="175">
        <f>z_RHP</f>
        <v>47011.921705478802</v>
      </c>
      <c r="I628" s="603">
        <f>SQRT(1+(G628/pole1)^2)</f>
        <v>45.877566534321645</v>
      </c>
      <c r="J628" s="595">
        <f>ATAN(G628/pole1)</f>
        <v>1.5489974547445848</v>
      </c>
      <c r="K628" s="595">
        <f>SQRT(1+(G628/Zero1)^2)</f>
        <v>1.0003226061212251</v>
      </c>
      <c r="L628" s="596">
        <f>ATAN(G628/Zero1)</f>
        <v>2.5397614697823995E-2</v>
      </c>
      <c r="M628" s="584">
        <v>1</v>
      </c>
      <c r="N628" s="585">
        <v>0</v>
      </c>
      <c r="O628" s="603">
        <f>SQRT(1+(G628/Pole2)^2)</f>
        <v>85070.76923664668</v>
      </c>
      <c r="P628" s="604">
        <f>ATAN(G628/Pole2)</f>
        <v>1.5707845718759157</v>
      </c>
      <c r="Q628" s="595">
        <f>SQRT(1+(G628/Zero2)^2)</f>
        <v>35.460256943304948</v>
      </c>
      <c r="R628" s="596">
        <f>ATAN(G628/Zero2)</f>
        <v>1.5425920023153068</v>
      </c>
      <c r="S628" s="583">
        <f>SQRT(1+(G628/pole4)^2)</f>
        <v>1.0275413984087391</v>
      </c>
      <c r="T628" s="586">
        <f>ATAN(G628/pole4)</f>
        <v>0.2320508534513431</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5">
      <c r="G629" s="175">
        <v>195034.73926858415</v>
      </c>
      <c r="W629" s="589">
        <v>-25</v>
      </c>
    </row>
    <row r="631" spans="7:34" x14ac:dyDescent="0.25">
      <c r="J631" s="150" t="s">
        <v>743</v>
      </c>
      <c r="K631" s="150" t="s">
        <v>744</v>
      </c>
    </row>
    <row r="632" spans="7:34" x14ac:dyDescent="0.25">
      <c r="G632" s="150" t="s">
        <v>728</v>
      </c>
      <c r="H632" s="150" t="s">
        <v>745</v>
      </c>
      <c r="I632" s="152">
        <f>pole1</f>
        <v>1024.9692232299162</v>
      </c>
      <c r="J632" s="152" t="e">
        <f>W622</f>
        <v>#DIV/0!</v>
      </c>
      <c r="K632" s="152" t="e">
        <f>AG622</f>
        <v>#DIV/0!</v>
      </c>
    </row>
    <row r="633" spans="7:34" x14ac:dyDescent="0.25">
      <c r="G633" s="150" t="s">
        <v>729</v>
      </c>
      <c r="H633" s="150" t="s">
        <v>746</v>
      </c>
      <c r="I633" s="152">
        <f>Zero1</f>
        <v>1850638.8752762375</v>
      </c>
      <c r="J633" s="152" t="e">
        <f>W623</f>
        <v>#DIV/0!</v>
      </c>
      <c r="K633" s="152" t="e">
        <f>AG623</f>
        <v>#DIV/0!</v>
      </c>
    </row>
    <row r="634" spans="7:34" x14ac:dyDescent="0.25">
      <c r="G634" s="150" t="s">
        <v>730</v>
      </c>
      <c r="H634" s="150" t="s">
        <v>747</v>
      </c>
      <c r="I634" s="152">
        <f>Pole2</f>
        <v>0.5526213308116541</v>
      </c>
      <c r="J634" s="152" t="e">
        <f>W624</f>
        <v>#DIV/0!</v>
      </c>
      <c r="K634" s="152" t="e">
        <f>AG624</f>
        <v>#DIV/0!</v>
      </c>
    </row>
    <row r="635" spans="7:34" x14ac:dyDescent="0.25">
      <c r="G635" s="150" t="s">
        <v>741</v>
      </c>
      <c r="H635" s="150" t="s">
        <v>748</v>
      </c>
      <c r="I635" s="152">
        <f>Zero2</f>
        <v>1326.2911939479698</v>
      </c>
      <c r="J635" s="152" t="e">
        <f>W625</f>
        <v>#DIV/0!</v>
      </c>
      <c r="K635" s="152" t="e">
        <f>AG625</f>
        <v>#DIV/0!</v>
      </c>
    </row>
    <row r="636" spans="7:34" x14ac:dyDescent="0.25">
      <c r="G636" s="150" t="s">
        <v>706</v>
      </c>
      <c r="H636" s="150" t="s">
        <v>749</v>
      </c>
      <c r="I636" s="150">
        <f>pole3</f>
        <v>0</v>
      </c>
      <c r="J636" s="152" t="e">
        <f>W626</f>
        <v>#DIV/0!</v>
      </c>
      <c r="K636" s="152" t="e">
        <f>AG626</f>
        <v>#DIV/0!</v>
      </c>
    </row>
    <row r="637" spans="7:34" x14ac:dyDescent="0.25">
      <c r="I637" s="175"/>
      <c r="J637" s="152"/>
      <c r="K637" s="152"/>
    </row>
    <row r="639" spans="7:34" x14ac:dyDescent="0.25">
      <c r="G639" s="152">
        <f>W4*1000</f>
        <v>34081.5</v>
      </c>
    </row>
    <row r="640" spans="7:34" x14ac:dyDescent="0.25">
      <c r="G640" s="152">
        <f>W4*1000</f>
        <v>34081.5</v>
      </c>
    </row>
    <row r="687" spans="36:37" x14ac:dyDescent="0.25">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W10:Y10"/>
    <mergeCell ref="AD10:AE10"/>
    <mergeCell ref="AG10:AH10"/>
    <mergeCell ref="I11:J11"/>
    <mergeCell ref="K11:L11"/>
    <mergeCell ref="M11:N11"/>
    <mergeCell ref="O11:P11"/>
    <mergeCell ref="Q11:R11"/>
    <mergeCell ref="S11:T11"/>
    <mergeCell ref="U11:V11"/>
    <mergeCell ref="G2:J2"/>
    <mergeCell ref="K2:M2"/>
    <mergeCell ref="P2:R2"/>
    <mergeCell ref="S2:U2"/>
    <mergeCell ref="V2:X2"/>
    <mergeCell ref="G10:G12"/>
    <mergeCell ref="H10:H11"/>
    <mergeCell ref="I10:N10"/>
    <mergeCell ref="O10:T10"/>
    <mergeCell ref="U10:V10"/>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137160</xdr:rowOff>
                  </from>
                  <to>
                    <xdr:col>1</xdr:col>
                    <xdr:colOff>403860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3.2" x14ac:dyDescent="0.25"/>
  <cols>
    <col min="1" max="1" width="2.6640625" customWidth="1"/>
    <col min="2" max="2" width="3.5546875" customWidth="1"/>
    <col min="3" max="3" width="2.6640625" customWidth="1"/>
    <col min="4" max="4" width="3.6640625" customWidth="1"/>
    <col min="5" max="5" width="6.33203125" customWidth="1"/>
    <col min="6" max="6" width="8.5546875" customWidth="1"/>
    <col min="7" max="8" width="7.6640625" customWidth="1"/>
    <col min="9" max="9" width="6.33203125" customWidth="1"/>
    <col min="10" max="10" width="9.5546875" customWidth="1"/>
    <col min="11" max="11" width="9.33203125" customWidth="1"/>
    <col min="12" max="12" width="1.6640625" customWidth="1"/>
    <col min="13" max="13" width="8.44140625" customWidth="1"/>
    <col min="14" max="15" width="9.5546875" customWidth="1"/>
    <col min="16" max="16" width="8.6640625" customWidth="1"/>
    <col min="17" max="18" width="8.5546875" customWidth="1"/>
    <col min="19" max="19" width="15.44140625" customWidth="1"/>
    <col min="20" max="20" width="10.44140625" customWidth="1"/>
    <col min="21" max="21" width="7.5546875" customWidth="1"/>
    <col min="22" max="22" width="9" customWidth="1"/>
    <col min="23" max="23" width="8.6640625" customWidth="1"/>
    <col min="24" max="24" width="10" customWidth="1"/>
    <col min="25" max="25" width="9.5546875" customWidth="1"/>
    <col min="26" max="26" width="1.6640625" customWidth="1"/>
    <col min="27" max="27" width="9.6640625" customWidth="1"/>
    <col min="28" max="28" width="10.44140625" customWidth="1"/>
    <col min="29" max="29" width="10.33203125" customWidth="1"/>
    <col min="30" max="30" width="2" customWidth="1"/>
    <col min="31" max="31" width="9.33203125" customWidth="1"/>
    <col min="32" max="32" width="9.44140625" customWidth="1"/>
    <col min="33" max="33" width="10.44140625" customWidth="1"/>
    <col min="34" max="34" width="2.33203125" customWidth="1"/>
    <col min="36" max="36" width="8" customWidth="1"/>
    <col min="38" max="38" width="2.33203125" customWidth="1"/>
    <col min="39" max="39" width="6.5546875" customWidth="1"/>
    <col min="40" max="40" width="7.5546875" customWidth="1"/>
    <col min="41" max="41" width="2" customWidth="1"/>
    <col min="42" max="42" width="6.44140625" customWidth="1"/>
    <col min="43" max="43" width="7.5546875" customWidth="1"/>
    <col min="44" max="44" width="2.33203125" customWidth="1"/>
    <col min="45" max="48" width="7" customWidth="1"/>
    <col min="49" max="50" width="8.44140625" customWidth="1"/>
    <col min="51" max="52" width="11" customWidth="1"/>
    <col min="53" max="53" width="9.44140625" customWidth="1"/>
    <col min="54" max="54" width="10.6640625" customWidth="1"/>
    <col min="55" max="55" width="9.6640625" customWidth="1"/>
    <col min="56" max="56" width="11.6640625" customWidth="1"/>
    <col min="57" max="57" width="2" customWidth="1"/>
    <col min="60" max="60" width="2.33203125" customWidth="1"/>
    <col min="61" max="61" width="9" customWidth="1"/>
    <col min="62" max="63" width="8.33203125" customWidth="1"/>
    <col min="64" max="64" width="8.6640625" customWidth="1"/>
    <col min="65" max="66" width="7.5546875" customWidth="1"/>
    <col min="67" max="67" width="10.5546875" customWidth="1"/>
    <col min="68" max="68" width="8.6640625" customWidth="1"/>
    <col min="69" max="70" width="10.33203125" customWidth="1"/>
    <col min="71" max="72" width="10.5546875" customWidth="1"/>
    <col min="73" max="73" width="8.6640625" customWidth="1"/>
    <col min="75" max="75" width="9.6640625" customWidth="1"/>
    <col min="76" max="76" width="11.5546875" customWidth="1"/>
    <col min="77" max="77" width="12.33203125" customWidth="1"/>
    <col min="78" max="78" width="9.33203125" customWidth="1"/>
    <col min="80" max="80" width="7.6640625" customWidth="1"/>
    <col min="81" max="81" width="10.44140625" customWidth="1"/>
    <col min="82" max="82" width="12.44140625" bestFit="1" customWidth="1"/>
    <col min="83" max="83" width="4.5546875" customWidth="1"/>
    <col min="84" max="84" width="5" customWidth="1"/>
    <col min="85" max="85" width="9.5546875" customWidth="1"/>
  </cols>
  <sheetData>
    <row r="1" spans="2:86" x14ac:dyDescent="0.25">
      <c r="B1" s="162" t="s">
        <v>526</v>
      </c>
      <c r="M1">
        <f>Vfwd2</f>
        <v>0.4</v>
      </c>
      <c r="BC1">
        <f>Ltc</f>
        <v>4.0000000000000001E-3</v>
      </c>
      <c r="BV1">
        <f>Ta</f>
        <v>55</v>
      </c>
    </row>
    <row r="2" spans="2:86" ht="13.8" thickBot="1" x14ac:dyDescent="0.3">
      <c r="M2">
        <f>Vfwd1</f>
        <v>0.32</v>
      </c>
      <c r="U2">
        <f>Isw_max</f>
        <v>0.75</v>
      </c>
    </row>
    <row r="3" spans="2:86" x14ac:dyDescent="0.25">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3">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5">
      <c r="E5" s="150">
        <v>0.1</v>
      </c>
      <c r="F5" s="191">
        <v>1.0000000000000001E-9</v>
      </c>
      <c r="G5" s="191"/>
      <c r="H5" s="191">
        <f t="shared" ref="H5:H36" si="0">F5*Vout</f>
        <v>2E-8</v>
      </c>
      <c r="I5" s="472">
        <f t="shared" ref="I5:I36" si="1">Vin</f>
        <v>20</v>
      </c>
      <c r="J5" s="152">
        <f t="shared" ref="J5:J36" si="2">(T5+Vfwd1)*Nps</f>
        <v>20.32</v>
      </c>
      <c r="K5" s="386">
        <f t="shared" ref="K5:K36" si="3">(Vout+Vfwd1)*Nps+I5</f>
        <v>40.32</v>
      </c>
      <c r="L5" s="386"/>
      <c r="M5" s="190">
        <f t="shared" ref="M5:M36" si="4">(Vout+Vfwd1)*Nps/((Vout+Vfwd1)*Nps+I5)</f>
        <v>0.50396825396825395</v>
      </c>
      <c r="N5" s="152">
        <f t="shared" ref="N5:N36" si="5">M5*I5*Isw_max*0.5*Efficiency</f>
        <v>3.4017857142857144</v>
      </c>
      <c r="O5" s="152">
        <f>T5*F5</f>
        <v>2E-8</v>
      </c>
      <c r="P5" s="191">
        <f t="shared" ref="P5:P36" si="6">N5/Vout</f>
        <v>0.17008928571428572</v>
      </c>
      <c r="Q5" s="191">
        <f t="shared" ref="Q5:Q36" si="7">MIN(Vout,N5/F5)</f>
        <v>20</v>
      </c>
      <c r="R5" s="191">
        <f t="shared" ref="R5:R36" si="8">Isw_max/2*I5*Nps*(Q5+Vfwd1)/Q5/(I5+Nps*(Q5+Vfwd1))</f>
        <v>0.18898809523809523</v>
      </c>
      <c r="S5" s="152">
        <f t="shared" ref="S5:S36" si="9">(SQRT(Isw_max^2*Nps^2*I5^2+4*Isw_max*F5/Efficiency*(Nps^2*Vfwd1*I5-Nps*I5^2)+4*(F5/Efficiency)^2*Nps^2*Vfwd1^2+8*(F5/Efficiency)^2*Nps*Vfwd1*I5+4*(F5/Efficiency)^2*I5^2)-2*F5/Efficiency*I5-2*F5/Efficiency*Nps*Vfwd1+Isw_max*Nps*I5)/(4*F5/Efficiency*Nps)</f>
        <v>6749999980</v>
      </c>
      <c r="T5" s="152">
        <f t="shared" ref="T5:T36" si="10">MIN(Vout, S5)</f>
        <v>20</v>
      </c>
      <c r="U5" s="191">
        <f t="shared" ref="U5:U36" si="11">MIN(2*Vout*F5/(Efficiency*I5*M5), Isw_max)</f>
        <v>4.4094488188976383E-9</v>
      </c>
      <c r="V5" s="191">
        <f t="shared" ref="V5:V36" si="12">L*U5/I5*1000000</f>
        <v>3.3070866141732285E-8</v>
      </c>
      <c r="W5" s="191">
        <f t="shared" ref="W5:W36" si="13">L*U5/J5*1000000</f>
        <v>3.2550065100130201E-8</v>
      </c>
      <c r="X5" s="175">
        <f t="shared" ref="X5:X36" si="14">IF(1/((350000*L)*(1/I5+1/J5))&gt;Isw_min, 350, 0.001/((Isw_min*L)*(1/I5+1/J5)))</f>
        <v>350</v>
      </c>
      <c r="Y5" s="386">
        <f>MIN(1/(V5+W5)*1000, 350)</f>
        <v>350</v>
      </c>
      <c r="AA5" s="191">
        <f t="shared" ref="AA5:AA36" si="15">1/((X5*1000*L)*(1/I5+1/J5))</f>
        <v>0.19198790627362058</v>
      </c>
      <c r="AB5" s="153">
        <f t="shared" ref="AB5:AB36" si="16">L*AA5/J5*1000000</f>
        <v>1.4172335600907029</v>
      </c>
      <c r="AC5" s="153">
        <f t="shared" ref="AC5:AC36" si="17">0.5*AB5*AA5*Nps*X5/1000</f>
        <v>4.7616048182941621E-2</v>
      </c>
      <c r="AD5" s="153"/>
      <c r="AE5" s="153">
        <f t="shared" ref="AE5:AE36" si="18">L*Isw_min/J5*1000000</f>
        <v>1.1072834645669289</v>
      </c>
      <c r="AF5" s="317">
        <f t="shared" ref="AF5:AF36" si="19">MAX(12, F5/(0.5*AE5/1000000*Isw_min*Nps)/1000)</f>
        <v>12</v>
      </c>
      <c r="AG5" s="463">
        <f t="shared" ref="AG5:AG36" si="20">0.5*AE5/1000000*Isw_min*Nps*X5*1000</f>
        <v>2.9066190944881887E-2</v>
      </c>
      <c r="AI5" s="153">
        <f t="shared" ref="AI5:AI36" si="21">SQRT(F5/Efficiency/(0.5*L/J5*Fsw_DCM*Nps))</f>
        <v>2.9327560759562329E-5</v>
      </c>
      <c r="AJ5" s="153">
        <f t="shared" ref="AJ5:AJ36" si="22">MAX(IF(F5&gt;AC5,U5,AI5),Isw_min)</f>
        <v>0.15</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1.1249999999999998</v>
      </c>
      <c r="AU5" s="5">
        <f>AS5-AT5</f>
        <v>82.208333333333329</v>
      </c>
      <c r="AV5" s="5">
        <f t="shared" ref="AV5:AV36" si="29">L*AJ5/J5*1000000</f>
        <v>1.1072834645669289</v>
      </c>
      <c r="AW5" s="153">
        <f>AT5/AS5</f>
        <v>1.3499999999999998E-2</v>
      </c>
      <c r="AX5" s="153">
        <f t="shared" ref="AX5:AX36" si="30">0.5*L*AJ5^2*AN5*1000</f>
        <v>2.0249999999999997E-2</v>
      </c>
      <c r="AY5" s="153">
        <f t="shared" ref="AY5:AY36" si="31">AJ5*Nps/2*(1-AW5)</f>
        <v>7.3987499999999998E-2</v>
      </c>
      <c r="AZ5" s="153">
        <f>AX5/AY5</f>
        <v>0.27369488089204252</v>
      </c>
      <c r="BA5" s="147">
        <f t="shared" ref="BA5:BA36" si="32">L*Isw_max^2/(2*Vout_ripple*Vout)*1000000000*((1+M5)/2)^2</f>
        <v>5.9640482169430262</v>
      </c>
      <c r="BB5" s="147">
        <f t="shared" ref="BB5:BB36" si="33">L*F5^2/(2*Cout*Vout*Nps^2)*1000000000*((1+M5)/(1-M5))^2+F5*RCoutEsr</f>
        <v>3.0000017236920005E-9</v>
      </c>
      <c r="BC5" s="5">
        <f t="shared" ref="BC5:BC36" si="34">H5/Efficiency/I5*AU5/Vinripple1</f>
        <v>9.1342592592592603E-8</v>
      </c>
      <c r="BD5" s="147">
        <f t="shared" ref="BD5:BD36" si="35">((CB5/I5/Efficiency)*AU5/Cin+(CB5/I5/Efficiency)*RCinEsr)*1000</f>
        <v>9.1375925925925917E-6</v>
      </c>
      <c r="BE5" s="5"/>
      <c r="BF5" s="153">
        <f>AJ5*SQRT(AW5/3)</f>
        <v>1.0062305898749053E-2</v>
      </c>
      <c r="BG5" s="153">
        <f t="shared" ref="BG5:BG36" si="36">AJ5*Nps*SQRT((1-AW5)/3)</f>
        <v>8.6015986886159704E-2</v>
      </c>
      <c r="BH5" s="153"/>
      <c r="BI5" s="463">
        <f t="shared" ref="BI5:BI36" si="37">Rdson*BF5^2</f>
        <v>3.5437499999999994E-5</v>
      </c>
      <c r="BJ5" s="463">
        <f t="shared" ref="BJ5:BJ36" si="38">0.5*K5*AJ5*AN5*1000*Trise</f>
        <v>3.6288E-4</v>
      </c>
      <c r="BK5" s="463">
        <f t="shared" ref="BK5:BK36" si="39">Qg*Vdd*AN5*1000</f>
        <v>1.4999999999999999E-4</v>
      </c>
      <c r="BL5" s="463">
        <f t="shared" ref="BL5:BL36" si="40">0.5*(Coss+Csw)*K5^2*AN5*1000</f>
        <v>9.7542144000000027E-4</v>
      </c>
      <c r="BM5">
        <f t="shared" ref="BM5:BM36" si="41">I5*IQ</f>
        <v>5.7999999999999996E-3</v>
      </c>
      <c r="BN5">
        <f t="shared" ref="BN5:BN36" si="42">(I5-Vdd)*Qg*AN5</f>
        <v>4.4999999999999998E-7</v>
      </c>
      <c r="BO5" s="463">
        <f t="shared" ref="BO5:BO36" si="43">(BJ5+BK5+BL5+BM5+BN5+BI5*(1+RdsonTC*(Ta-25)))/(1-BI5*RdsonTC*ThetaJA)</f>
        <v>7.3290209212420057E-3</v>
      </c>
      <c r="BP5" s="147">
        <f>BO5*1000</f>
        <v>7.3290209212420061</v>
      </c>
      <c r="BQ5" s="463">
        <f t="shared" ref="BQ5:BQ36" si="44">(Vfwd2*F5+BG5^2*Rdiode)*(1+Diode_TC/1000*(Ta-25))</f>
        <v>5.6526453819999998E-3</v>
      </c>
      <c r="BR5" s="463"/>
      <c r="BT5" s="147">
        <f>SUM(BQ5:BS5)*1000</f>
        <v>5.6526453819999993</v>
      </c>
      <c r="BU5" s="463">
        <f t="shared" ref="BU5:BU36" si="45">Rdcr_pri*BF5^2</f>
        <v>8.1000000000000004E-5</v>
      </c>
      <c r="BV5" s="463">
        <f t="shared" ref="BV5:BV36" si="46">Rdcr_sec*BG5^2</f>
        <v>5.8894049999999986E-3</v>
      </c>
      <c r="BW5" s="463">
        <f t="shared" ref="BW5:BW36" si="47">AJ5^2.5*AN5^2.5*k_core</f>
        <v>0</v>
      </c>
      <c r="BX5" s="463">
        <f t="shared" ref="BX5:BX36" si="48">(BW5+(BU5+BV5)*(1+Ltc*(Ta-25)))/(1-(BU5+BV5)*Ltc*ThetaCa)</f>
        <v>6.6900489841524181E-3</v>
      </c>
      <c r="BY5" s="463">
        <f t="shared" ref="BY5:BY36" si="49">0.5*Lleak*0.000000001*AJ5^2*AN5*1000</f>
        <v>4.0500000000000003E-4</v>
      </c>
      <c r="BZ5" s="147">
        <f>1000*(BX5+BY5)</f>
        <v>7.0950489841524185</v>
      </c>
      <c r="CA5" s="153">
        <f>SUM(BO5,BQ5:BS5,BX5, BY5)</f>
        <v>2.0076715287394423E-2</v>
      </c>
      <c r="CB5" s="5">
        <f>MIN(H5,O5)</f>
        <v>2E-8</v>
      </c>
      <c r="CC5" s="153">
        <f>CB5/(CB5+CA5)</f>
        <v>9.9617790012688953E-7</v>
      </c>
      <c r="CD5" s="5">
        <f>CC5*100</f>
        <v>9.9617790012688953E-5</v>
      </c>
      <c r="CG5" s="59">
        <f t="shared" ref="CG5:CG36" si="50">IF(ABS(F5-Ioutmax_Vinnom)&lt;Iout/200, AN5, -50)</f>
        <v>-50</v>
      </c>
      <c r="CH5">
        <f t="shared" ref="CH5:CH36" si="51">IF(ABS(F5-Ioutmax_Vinnom)&lt;Iout/200, N5*CC5, -50)</f>
        <v>-50</v>
      </c>
    </row>
    <row r="6" spans="2:86" x14ac:dyDescent="0.25">
      <c r="E6" s="150">
        <v>1</v>
      </c>
      <c r="F6" s="191">
        <f t="shared" ref="F6:F37" si="52">IF(PLOT_TYPE=1, E6/100*Iout_max, min_I*EXP(N6*rr/100))</f>
        <v>1E-3</v>
      </c>
      <c r="G6" s="191"/>
      <c r="H6" s="191">
        <f t="shared" si="0"/>
        <v>0.02</v>
      </c>
      <c r="I6" s="472">
        <f t="shared" si="1"/>
        <v>20</v>
      </c>
      <c r="J6" s="152">
        <f t="shared" si="2"/>
        <v>20.32</v>
      </c>
      <c r="K6" s="386">
        <f t="shared" si="3"/>
        <v>40.32</v>
      </c>
      <c r="L6" s="386"/>
      <c r="M6" s="191">
        <f t="shared" si="4"/>
        <v>0.50396825396825395</v>
      </c>
      <c r="N6" s="152">
        <f t="shared" si="5"/>
        <v>3.4017857142857144</v>
      </c>
      <c r="O6" s="152">
        <f t="shared" ref="O6:O69" si="53">T6*F6</f>
        <v>0.02</v>
      </c>
      <c r="P6" s="191">
        <f t="shared" si="6"/>
        <v>0.17008928571428572</v>
      </c>
      <c r="Q6" s="191">
        <f t="shared" si="7"/>
        <v>20</v>
      </c>
      <c r="R6" s="191">
        <f t="shared" si="8"/>
        <v>0.18898809523809523</v>
      </c>
      <c r="S6" s="152">
        <f t="shared" si="9"/>
        <v>6730.0009509204756</v>
      </c>
      <c r="T6" s="152">
        <f t="shared" si="10"/>
        <v>20</v>
      </c>
      <c r="U6" s="191">
        <f t="shared" si="11"/>
        <v>4.4094488188976379E-3</v>
      </c>
      <c r="V6" s="191">
        <f t="shared" si="12"/>
        <v>3.3070866141732276E-2</v>
      </c>
      <c r="W6" s="191">
        <f t="shared" si="13"/>
        <v>3.2550065100130192E-2</v>
      </c>
      <c r="X6" s="175">
        <f t="shared" si="14"/>
        <v>350</v>
      </c>
      <c r="Y6" s="386">
        <f t="shared" ref="Y6:Y69" si="54">MIN(1/(V6+W6)*1000, 350)</f>
        <v>350</v>
      </c>
      <c r="AA6" s="191">
        <f t="shared" si="15"/>
        <v>0.19198790627362058</v>
      </c>
      <c r="AB6" s="153">
        <f t="shared" si="16"/>
        <v>1.4172335600907029</v>
      </c>
      <c r="AC6" s="153">
        <f t="shared" si="17"/>
        <v>4.7616048182941621E-2</v>
      </c>
      <c r="AD6" s="153"/>
      <c r="AE6" s="153">
        <f t="shared" si="18"/>
        <v>1.1072834645669289</v>
      </c>
      <c r="AF6" s="317">
        <f t="shared" si="19"/>
        <v>12.041481481481481</v>
      </c>
      <c r="AG6" s="463">
        <f t="shared" si="20"/>
        <v>2.9066190944881887E-2</v>
      </c>
      <c r="AI6" s="153">
        <f t="shared" si="21"/>
        <v>2.9327560759562332E-2</v>
      </c>
      <c r="AJ6" s="153">
        <f t="shared" si="22"/>
        <v>0.15</v>
      </c>
      <c r="AK6" s="153">
        <f t="shared" si="23"/>
        <v>1.0068808465608465</v>
      </c>
      <c r="AM6" s="317">
        <f t="shared" si="24"/>
        <v>1</v>
      </c>
      <c r="AN6" s="147">
        <f t="shared" si="25"/>
        <v>12.041481481481481</v>
      </c>
      <c r="AP6">
        <f t="shared" si="26"/>
        <v>1</v>
      </c>
      <c r="AQ6" s="147">
        <f t="shared" si="27"/>
        <v>12.041481481481481</v>
      </c>
      <c r="AR6" s="147"/>
      <c r="AS6" s="5">
        <f t="shared" ref="AS6:AS69" si="55">1/AN6*1000</f>
        <v>83.046259842519689</v>
      </c>
      <c r="AT6" s="5">
        <f t="shared" si="28"/>
        <v>1.1249999999999998</v>
      </c>
      <c r="AU6" s="5">
        <f t="shared" ref="AU6:AU69" si="56">AS6-AT6</f>
        <v>81.921259842519689</v>
      </c>
      <c r="AV6" s="5">
        <f t="shared" si="29"/>
        <v>1.1072834645669289</v>
      </c>
      <c r="AW6" s="153">
        <f t="shared" ref="AW6:AW69" si="57">AT6/AS6</f>
        <v>1.3546666666666663E-2</v>
      </c>
      <c r="AX6" s="153">
        <f t="shared" si="30"/>
        <v>2.0319999999999994E-2</v>
      </c>
      <c r="AY6" s="153">
        <f t="shared" si="31"/>
        <v>7.3983999999999994E-2</v>
      </c>
      <c r="AZ6" s="153">
        <f t="shared" ref="AZ6:AZ69" si="58">AX6/AY6</f>
        <v>0.27465397923875429</v>
      </c>
      <c r="BA6" s="147">
        <f t="shared" si="32"/>
        <v>5.9640482169430262</v>
      </c>
      <c r="BB6" s="147">
        <f t="shared" si="33"/>
        <v>4.7236919999999998E-3</v>
      </c>
      <c r="BC6" s="5">
        <f t="shared" si="34"/>
        <v>9.1023622047244096E-2</v>
      </c>
      <c r="BD6" s="147">
        <f t="shared" si="35"/>
        <v>9.1056955380577431</v>
      </c>
      <c r="BE6" s="5"/>
      <c r="BF6" s="153">
        <f t="shared" ref="BF6:BF69" si="59">AJ6*SQRT(AW6/3)</f>
        <v>1.007968253468332E-2</v>
      </c>
      <c r="BG6" s="153">
        <f t="shared" si="36"/>
        <v>8.6013952356579923E-2</v>
      </c>
      <c r="BH6" s="153"/>
      <c r="BI6" s="463">
        <f t="shared" si="37"/>
        <v>3.5559999999999978E-5</v>
      </c>
      <c r="BJ6" s="463">
        <f t="shared" si="38"/>
        <v>3.6413440000000004E-4</v>
      </c>
      <c r="BK6" s="463">
        <f t="shared" si="39"/>
        <v>1.5051851851851853E-4</v>
      </c>
      <c r="BL6" s="463">
        <f t="shared" si="40"/>
        <v>9.7879326720000034E-4</v>
      </c>
      <c r="BM6">
        <f t="shared" si="41"/>
        <v>5.7999999999999996E-3</v>
      </c>
      <c r="BN6">
        <f t="shared" si="42"/>
        <v>4.5155555555555554E-7</v>
      </c>
      <c r="BO6" s="463">
        <f t="shared" si="43"/>
        <v>7.3343064603385855E-3</v>
      </c>
      <c r="BP6" s="147">
        <f t="shared" ref="BP6:BP69" si="60">BO6*1000</f>
        <v>7.3343064603385857</v>
      </c>
      <c r="BQ6" s="463">
        <f t="shared" si="44"/>
        <v>6.0343776000000024E-3</v>
      </c>
      <c r="BR6" s="463"/>
      <c r="BT6" s="147">
        <f t="shared" ref="BT6:BT69" si="61">SUM(BQ6:BS6)*1000</f>
        <v>6.0343776000000027</v>
      </c>
      <c r="BU6" s="463">
        <f t="shared" si="45"/>
        <v>8.1279999999999967E-5</v>
      </c>
      <c r="BV6" s="463">
        <f t="shared" si="46"/>
        <v>5.8891264000000016E-3</v>
      </c>
      <c r="BW6" s="463">
        <f t="shared" si="47"/>
        <v>0</v>
      </c>
      <c r="BX6" s="463">
        <f t="shared" si="48"/>
        <v>6.6900505536513491E-3</v>
      </c>
      <c r="BY6" s="463">
        <f t="shared" si="49"/>
        <v>4.0640000000000001E-4</v>
      </c>
      <c r="BZ6" s="147">
        <f t="shared" ref="BZ6:BZ69" si="62">1000*(BX6+BY6)</f>
        <v>7.0964505536513496</v>
      </c>
      <c r="CA6" s="153">
        <f t="shared" ref="CA6:CA69" si="63">SUM(BO6,BQ6:BS6,BX6, BY6)</f>
        <v>2.0465134613989938E-2</v>
      </c>
      <c r="CB6" s="5">
        <f t="shared" ref="CB6:CB69" si="64">MIN(H6,O6)</f>
        <v>0.02</v>
      </c>
      <c r="CC6" s="153">
        <f t="shared" ref="CC6:CC69" si="65">CB6/(CB6+CA6)</f>
        <v>0.49425264961519327</v>
      </c>
      <c r="CD6" s="5">
        <f t="shared" ref="CD6:CD69" si="66">CC6*100</f>
        <v>49.425264961519325</v>
      </c>
      <c r="CG6" s="59">
        <f t="shared" si="50"/>
        <v>-50</v>
      </c>
      <c r="CH6">
        <f t="shared" si="51"/>
        <v>-50</v>
      </c>
    </row>
    <row r="7" spans="2:86" x14ac:dyDescent="0.25">
      <c r="E7" s="150">
        <v>2</v>
      </c>
      <c r="F7" s="191">
        <f t="shared" si="52"/>
        <v>2E-3</v>
      </c>
      <c r="G7" s="191"/>
      <c r="H7" s="191">
        <f t="shared" si="0"/>
        <v>0.04</v>
      </c>
      <c r="I7" s="472">
        <f t="shared" si="1"/>
        <v>20</v>
      </c>
      <c r="J7" s="152">
        <f t="shared" si="2"/>
        <v>20.32</v>
      </c>
      <c r="K7" s="386">
        <f t="shared" si="3"/>
        <v>40.32</v>
      </c>
      <c r="L7" s="386"/>
      <c r="M7" s="191">
        <f t="shared" si="4"/>
        <v>0.50396825396825395</v>
      </c>
      <c r="N7" s="152">
        <f t="shared" si="5"/>
        <v>3.4017857142857144</v>
      </c>
      <c r="O7" s="152">
        <f t="shared" si="53"/>
        <v>0.04</v>
      </c>
      <c r="P7" s="191">
        <f t="shared" si="6"/>
        <v>0.17008928571428572</v>
      </c>
      <c r="Q7" s="191">
        <f t="shared" si="7"/>
        <v>20</v>
      </c>
      <c r="R7" s="191">
        <f t="shared" si="8"/>
        <v>0.18898809523809523</v>
      </c>
      <c r="S7" s="152">
        <f t="shared" si="9"/>
        <v>3355.0019074175825</v>
      </c>
      <c r="T7" s="152">
        <f t="shared" si="10"/>
        <v>20</v>
      </c>
      <c r="U7" s="191">
        <f t="shared" si="11"/>
        <v>8.8188976377952758E-3</v>
      </c>
      <c r="V7" s="191">
        <f t="shared" si="12"/>
        <v>6.6141732283464552E-2</v>
      </c>
      <c r="W7" s="191">
        <f t="shared" si="13"/>
        <v>6.5100130200260384E-2</v>
      </c>
      <c r="X7" s="175">
        <f t="shared" si="14"/>
        <v>350</v>
      </c>
      <c r="Y7" s="386">
        <f t="shared" si="54"/>
        <v>350</v>
      </c>
      <c r="AA7" s="191">
        <f t="shared" si="15"/>
        <v>0.19198790627362058</v>
      </c>
      <c r="AB7" s="153">
        <f t="shared" si="16"/>
        <v>1.4172335600907029</v>
      </c>
      <c r="AC7" s="153">
        <f t="shared" si="17"/>
        <v>4.7616048182941621E-2</v>
      </c>
      <c r="AD7" s="153"/>
      <c r="AE7" s="153">
        <f t="shared" si="18"/>
        <v>1.1072834645669289</v>
      </c>
      <c r="AF7" s="317">
        <f t="shared" si="19"/>
        <v>24.082962962962963</v>
      </c>
      <c r="AG7" s="463">
        <f t="shared" si="20"/>
        <v>2.9066190944881887E-2</v>
      </c>
      <c r="AI7" s="153">
        <f t="shared" si="21"/>
        <v>4.1475434177494039E-2</v>
      </c>
      <c r="AJ7" s="153">
        <f t="shared" si="22"/>
        <v>0.15</v>
      </c>
      <c r="AK7" s="153">
        <f t="shared" si="23"/>
        <v>1.0137616931216931</v>
      </c>
      <c r="AM7" s="317">
        <f t="shared" si="24"/>
        <v>2</v>
      </c>
      <c r="AN7" s="147">
        <f t="shared" si="25"/>
        <v>24.082962962962963</v>
      </c>
      <c r="AP7">
        <f t="shared" si="26"/>
        <v>2</v>
      </c>
      <c r="AQ7" s="147">
        <f t="shared" si="27"/>
        <v>24.082962962962963</v>
      </c>
      <c r="AR7" s="147"/>
      <c r="AS7" s="5">
        <f t="shared" si="55"/>
        <v>41.523129921259844</v>
      </c>
      <c r="AT7" s="5">
        <f t="shared" si="28"/>
        <v>1.1249999999999998</v>
      </c>
      <c r="AU7" s="5">
        <f t="shared" si="56"/>
        <v>40.398129921259844</v>
      </c>
      <c r="AV7" s="5">
        <f t="shared" si="29"/>
        <v>1.1072834645669289</v>
      </c>
      <c r="AW7" s="153">
        <f t="shared" si="57"/>
        <v>2.7093333333333327E-2</v>
      </c>
      <c r="AX7" s="153">
        <f t="shared" si="30"/>
        <v>4.0639999999999989E-2</v>
      </c>
      <c r="AY7" s="153">
        <f t="shared" si="31"/>
        <v>7.2968000000000005E-2</v>
      </c>
      <c r="AZ7" s="153">
        <f t="shared" si="58"/>
        <v>0.55695647407082538</v>
      </c>
      <c r="BA7" s="147">
        <f t="shared" si="32"/>
        <v>5.9640482169430262</v>
      </c>
      <c r="BB7" s="147">
        <f t="shared" si="33"/>
        <v>1.2894767999999997E-2</v>
      </c>
      <c r="BC7" s="5">
        <f t="shared" si="34"/>
        <v>8.9773622047244095E-2</v>
      </c>
      <c r="BD7" s="147">
        <f t="shared" si="35"/>
        <v>8.984028871391077</v>
      </c>
      <c r="BE7" s="5"/>
      <c r="BF7" s="153">
        <f t="shared" si="59"/>
        <v>1.4254823744964368E-2</v>
      </c>
      <c r="BG7" s="153">
        <f t="shared" si="36"/>
        <v>8.5421308816945665E-2</v>
      </c>
      <c r="BH7" s="153"/>
      <c r="BI7" s="463">
        <f t="shared" si="37"/>
        <v>7.1119999999999983E-5</v>
      </c>
      <c r="BJ7" s="463">
        <f t="shared" si="38"/>
        <v>7.2826880000000007E-4</v>
      </c>
      <c r="BK7" s="463">
        <f t="shared" si="39"/>
        <v>3.0103703703703705E-4</v>
      </c>
      <c r="BL7" s="463">
        <f t="shared" si="40"/>
        <v>1.9575865344000007E-3</v>
      </c>
      <c r="BM7">
        <f t="shared" si="41"/>
        <v>5.7999999999999996E-3</v>
      </c>
      <c r="BN7">
        <f t="shared" si="42"/>
        <v>9.0311111111111108E-7</v>
      </c>
      <c r="BO7" s="463">
        <f t="shared" si="43"/>
        <v>8.8686330535583703E-3</v>
      </c>
      <c r="BP7" s="147">
        <f t="shared" si="60"/>
        <v>8.8686330535583711</v>
      </c>
      <c r="BQ7" s="463">
        <f t="shared" si="44"/>
        <v>6.3387551999999998E-3</v>
      </c>
      <c r="BR7" s="463"/>
      <c r="BT7" s="147">
        <f t="shared" si="61"/>
        <v>6.3387551999999996</v>
      </c>
      <c r="BU7" s="463">
        <f t="shared" si="45"/>
        <v>1.6255999999999996E-4</v>
      </c>
      <c r="BV7" s="463">
        <f t="shared" si="46"/>
        <v>5.8082527999999993E-3</v>
      </c>
      <c r="BW7" s="463">
        <f t="shared" si="47"/>
        <v>0</v>
      </c>
      <c r="BX7" s="463">
        <f t="shared" si="48"/>
        <v>6.6905061567839519E-3</v>
      </c>
      <c r="BY7" s="463">
        <f t="shared" si="49"/>
        <v>8.1280000000000002E-4</v>
      </c>
      <c r="BZ7" s="147">
        <f t="shared" si="62"/>
        <v>7.5033061567839514</v>
      </c>
      <c r="CA7" s="153">
        <f t="shared" si="63"/>
        <v>2.2710694410342323E-2</v>
      </c>
      <c r="CB7" s="5">
        <f t="shared" si="64"/>
        <v>0.04</v>
      </c>
      <c r="CC7" s="153">
        <f t="shared" si="65"/>
        <v>0.6378497380090109</v>
      </c>
      <c r="CD7" s="5">
        <f t="shared" si="66"/>
        <v>63.784973800901092</v>
      </c>
      <c r="CG7" s="59">
        <f t="shared" si="50"/>
        <v>-50</v>
      </c>
      <c r="CH7">
        <f t="shared" si="51"/>
        <v>-50</v>
      </c>
    </row>
    <row r="8" spans="2:86" x14ac:dyDescent="0.25">
      <c r="E8" s="150">
        <v>3</v>
      </c>
      <c r="F8" s="191">
        <f t="shared" si="52"/>
        <v>3.0000000000000001E-3</v>
      </c>
      <c r="G8" s="191"/>
      <c r="H8" s="191">
        <f t="shared" si="0"/>
        <v>0.06</v>
      </c>
      <c r="I8" s="472">
        <f t="shared" si="1"/>
        <v>20</v>
      </c>
      <c r="J8" s="152">
        <f t="shared" si="2"/>
        <v>20.32</v>
      </c>
      <c r="K8" s="386">
        <f t="shared" si="3"/>
        <v>40.32</v>
      </c>
      <c r="L8" s="386"/>
      <c r="M8" s="191">
        <f t="shared" si="4"/>
        <v>0.50396825396825395</v>
      </c>
      <c r="N8" s="152">
        <f t="shared" si="5"/>
        <v>3.4017857142857144</v>
      </c>
      <c r="O8" s="152">
        <f t="shared" si="53"/>
        <v>0.06</v>
      </c>
      <c r="P8" s="191">
        <f t="shared" si="6"/>
        <v>0.17008928571428572</v>
      </c>
      <c r="Q8" s="191">
        <f t="shared" si="7"/>
        <v>20</v>
      </c>
      <c r="R8" s="191">
        <f t="shared" si="8"/>
        <v>0.18898809523809523</v>
      </c>
      <c r="S8" s="152">
        <f t="shared" si="9"/>
        <v>2230.0028695396923</v>
      </c>
      <c r="T8" s="152">
        <f t="shared" si="10"/>
        <v>20</v>
      </c>
      <c r="U8" s="191">
        <f t="shared" si="11"/>
        <v>1.3228346456692913E-2</v>
      </c>
      <c r="V8" s="191">
        <f t="shared" si="12"/>
        <v>9.9212598425196835E-2</v>
      </c>
      <c r="W8" s="191">
        <f t="shared" si="13"/>
        <v>9.7650195300390583E-2</v>
      </c>
      <c r="X8" s="175">
        <f t="shared" si="14"/>
        <v>350</v>
      </c>
      <c r="Y8" s="386">
        <f t="shared" si="54"/>
        <v>350</v>
      </c>
      <c r="AA8" s="191">
        <f t="shared" si="15"/>
        <v>0.19198790627362058</v>
      </c>
      <c r="AB8" s="153">
        <f t="shared" si="16"/>
        <v>1.4172335600907029</v>
      </c>
      <c r="AC8" s="153">
        <f t="shared" si="17"/>
        <v>4.7616048182941621E-2</v>
      </c>
      <c r="AD8" s="153"/>
      <c r="AE8" s="153">
        <f t="shared" si="18"/>
        <v>1.1072834645669289</v>
      </c>
      <c r="AF8" s="317">
        <f t="shared" si="19"/>
        <v>36.124444444444443</v>
      </c>
      <c r="AG8" s="463">
        <f t="shared" si="20"/>
        <v>2.9066190944881887E-2</v>
      </c>
      <c r="AI8" s="153">
        <f t="shared" si="21"/>
        <v>5.0796825297625248E-2</v>
      </c>
      <c r="AJ8" s="153">
        <f t="shared" si="22"/>
        <v>0.15</v>
      </c>
      <c r="AK8" s="153">
        <f t="shared" si="23"/>
        <v>1.0206425396825396</v>
      </c>
      <c r="AM8" s="317">
        <f t="shared" si="24"/>
        <v>3</v>
      </c>
      <c r="AN8" s="147">
        <f t="shared" si="25"/>
        <v>36.124444444444443</v>
      </c>
      <c r="AP8">
        <f t="shared" si="26"/>
        <v>3</v>
      </c>
      <c r="AQ8" s="147">
        <f t="shared" si="27"/>
        <v>36.124444444444443</v>
      </c>
      <c r="AR8" s="147"/>
      <c r="AS8" s="5">
        <f t="shared" si="55"/>
        <v>27.68208661417323</v>
      </c>
      <c r="AT8" s="5">
        <f t="shared" si="28"/>
        <v>1.1249999999999998</v>
      </c>
      <c r="AU8" s="5">
        <f t="shared" si="56"/>
        <v>26.55708661417323</v>
      </c>
      <c r="AV8" s="5">
        <f t="shared" si="29"/>
        <v>1.1072834645669289</v>
      </c>
      <c r="AW8" s="153">
        <f t="shared" si="57"/>
        <v>4.0639999999999989E-2</v>
      </c>
      <c r="AX8" s="153">
        <f t="shared" si="30"/>
        <v>6.0959999999999986E-2</v>
      </c>
      <c r="AY8" s="153">
        <f t="shared" si="31"/>
        <v>7.1952000000000002E-2</v>
      </c>
      <c r="AZ8" s="153">
        <f t="shared" si="58"/>
        <v>0.8472314876584387</v>
      </c>
      <c r="BA8" s="147">
        <f t="shared" si="32"/>
        <v>5.9640482169430262</v>
      </c>
      <c r="BB8" s="147">
        <f t="shared" si="33"/>
        <v>2.4513227999999998E-2</v>
      </c>
      <c r="BC8" s="5">
        <f t="shared" si="34"/>
        <v>8.8523622047244094E-2</v>
      </c>
      <c r="BD8" s="147">
        <f t="shared" si="35"/>
        <v>8.8623622047244091</v>
      </c>
      <c r="BE8" s="5"/>
      <c r="BF8" s="153">
        <f t="shared" si="59"/>
        <v>1.7458522274236155E-2</v>
      </c>
      <c r="BG8" s="153">
        <f t="shared" si="36"/>
        <v>8.4824524755521033E-2</v>
      </c>
      <c r="BH8" s="153"/>
      <c r="BI8" s="463">
        <f t="shared" si="37"/>
        <v>1.0667999999999999E-4</v>
      </c>
      <c r="BJ8" s="463">
        <f t="shared" si="38"/>
        <v>1.0924031999999999E-3</v>
      </c>
      <c r="BK8" s="463">
        <f t="shared" si="39"/>
        <v>4.5155555555555547E-4</v>
      </c>
      <c r="BL8" s="463">
        <f t="shared" si="40"/>
        <v>2.9363798016000002E-3</v>
      </c>
      <c r="BM8">
        <f t="shared" si="41"/>
        <v>5.7999999999999996E-3</v>
      </c>
      <c r="BN8">
        <f t="shared" si="42"/>
        <v>1.3546666666666665E-6</v>
      </c>
      <c r="BO8" s="463">
        <f t="shared" si="43"/>
        <v>1.0402979780055622E-2</v>
      </c>
      <c r="BP8" s="147">
        <f t="shared" si="60"/>
        <v>10.402979780055622</v>
      </c>
      <c r="BQ8" s="463">
        <f t="shared" si="44"/>
        <v>6.6431328000000006E-3</v>
      </c>
      <c r="BR8" s="463"/>
      <c r="BT8" s="147">
        <f t="shared" si="61"/>
        <v>6.6431328000000009</v>
      </c>
      <c r="BU8" s="463">
        <f t="shared" si="45"/>
        <v>2.4384E-4</v>
      </c>
      <c r="BV8" s="463">
        <f t="shared" si="46"/>
        <v>5.7273792000000004E-3</v>
      </c>
      <c r="BW8" s="463">
        <f t="shared" si="47"/>
        <v>0</v>
      </c>
      <c r="BX8" s="463">
        <f t="shared" si="48"/>
        <v>6.6909617599461985E-3</v>
      </c>
      <c r="BY8" s="463">
        <f t="shared" si="49"/>
        <v>1.2191999999999999E-3</v>
      </c>
      <c r="BZ8" s="147">
        <f t="shared" si="62"/>
        <v>7.9101617599461989</v>
      </c>
      <c r="CA8" s="153">
        <f t="shared" si="63"/>
        <v>2.4956274340001822E-2</v>
      </c>
      <c r="CB8" s="5">
        <f t="shared" si="64"/>
        <v>0.06</v>
      </c>
      <c r="CC8" s="153">
        <f t="shared" si="65"/>
        <v>0.70624565950097096</v>
      </c>
      <c r="CD8" s="5">
        <f t="shared" si="66"/>
        <v>70.624565950097093</v>
      </c>
      <c r="CG8" s="59">
        <f t="shared" si="50"/>
        <v>-50</v>
      </c>
      <c r="CH8">
        <f t="shared" si="51"/>
        <v>-50</v>
      </c>
    </row>
    <row r="9" spans="2:86" x14ac:dyDescent="0.25">
      <c r="E9" s="150">
        <v>4</v>
      </c>
      <c r="F9" s="191">
        <f t="shared" si="52"/>
        <v>4.0000000000000001E-3</v>
      </c>
      <c r="G9" s="191"/>
      <c r="H9" s="191">
        <f t="shared" si="0"/>
        <v>0.08</v>
      </c>
      <c r="I9" s="472">
        <f t="shared" si="1"/>
        <v>20</v>
      </c>
      <c r="J9" s="152">
        <f t="shared" si="2"/>
        <v>20.32</v>
      </c>
      <c r="K9" s="386">
        <f t="shared" si="3"/>
        <v>40.32</v>
      </c>
      <c r="L9" s="386"/>
      <c r="M9" s="191">
        <f t="shared" si="4"/>
        <v>0.50396825396825395</v>
      </c>
      <c r="N9" s="152">
        <f t="shared" si="5"/>
        <v>3.4017857142857144</v>
      </c>
      <c r="O9" s="152">
        <f t="shared" si="53"/>
        <v>0.08</v>
      </c>
      <c r="P9" s="191">
        <f t="shared" si="6"/>
        <v>0.17008928571428572</v>
      </c>
      <c r="Q9" s="191">
        <f t="shared" si="7"/>
        <v>20</v>
      </c>
      <c r="R9" s="191">
        <f t="shared" si="8"/>
        <v>0.18898809523809523</v>
      </c>
      <c r="S9" s="152">
        <f t="shared" si="9"/>
        <v>1667.5038373357286</v>
      </c>
      <c r="T9" s="152">
        <f t="shared" si="10"/>
        <v>20</v>
      </c>
      <c r="U9" s="191">
        <f t="shared" si="11"/>
        <v>1.7637795275590552E-2</v>
      </c>
      <c r="V9" s="191">
        <f t="shared" si="12"/>
        <v>0.1322834645669291</v>
      </c>
      <c r="W9" s="191">
        <f t="shared" si="13"/>
        <v>0.13020026040052077</v>
      </c>
      <c r="X9" s="175">
        <f t="shared" si="14"/>
        <v>350</v>
      </c>
      <c r="Y9" s="386">
        <f t="shared" si="54"/>
        <v>350</v>
      </c>
      <c r="AA9" s="191">
        <f t="shared" si="15"/>
        <v>0.19198790627362058</v>
      </c>
      <c r="AB9" s="153">
        <f t="shared" si="16"/>
        <v>1.4172335600907029</v>
      </c>
      <c r="AC9" s="153">
        <f t="shared" si="17"/>
        <v>4.7616048182941621E-2</v>
      </c>
      <c r="AD9" s="153"/>
      <c r="AE9" s="153">
        <f t="shared" si="18"/>
        <v>1.1072834645669289</v>
      </c>
      <c r="AF9" s="317">
        <f t="shared" si="19"/>
        <v>48.165925925925926</v>
      </c>
      <c r="AG9" s="463">
        <f t="shared" si="20"/>
        <v>2.9066190944881887E-2</v>
      </c>
      <c r="AI9" s="153">
        <f t="shared" si="21"/>
        <v>5.8655121519124664E-2</v>
      </c>
      <c r="AJ9" s="153">
        <f t="shared" si="22"/>
        <v>0.15</v>
      </c>
      <c r="AK9" s="153">
        <f t="shared" si="23"/>
        <v>1.0275233862433863</v>
      </c>
      <c r="AM9" s="317">
        <f t="shared" si="24"/>
        <v>4</v>
      </c>
      <c r="AN9" s="147">
        <f t="shared" si="25"/>
        <v>48.165925925925926</v>
      </c>
      <c r="AP9">
        <f t="shared" si="26"/>
        <v>4</v>
      </c>
      <c r="AQ9" s="147">
        <f t="shared" si="27"/>
        <v>48.165925925925926</v>
      </c>
      <c r="AR9" s="147"/>
      <c r="AS9" s="5">
        <f t="shared" si="55"/>
        <v>20.761564960629922</v>
      </c>
      <c r="AT9" s="5">
        <f t="shared" si="28"/>
        <v>1.1249999999999998</v>
      </c>
      <c r="AU9" s="5">
        <f t="shared" si="56"/>
        <v>19.636564960629922</v>
      </c>
      <c r="AV9" s="5">
        <f t="shared" si="29"/>
        <v>1.1072834645669289</v>
      </c>
      <c r="AW9" s="153">
        <f t="shared" si="57"/>
        <v>5.4186666666666654E-2</v>
      </c>
      <c r="AX9" s="153">
        <f t="shared" si="30"/>
        <v>8.1279999999999977E-2</v>
      </c>
      <c r="AY9" s="153">
        <f t="shared" si="31"/>
        <v>7.0935999999999999E-2</v>
      </c>
      <c r="AZ9" s="153">
        <f t="shared" si="58"/>
        <v>1.1458215856546743</v>
      </c>
      <c r="BA9" s="147">
        <f t="shared" si="32"/>
        <v>5.9640482169430262</v>
      </c>
      <c r="BB9" s="147">
        <f t="shared" si="33"/>
        <v>3.9579071999999993E-2</v>
      </c>
      <c r="BC9" s="5">
        <f t="shared" si="34"/>
        <v>8.7273622047244093E-2</v>
      </c>
      <c r="BD9" s="147">
        <f t="shared" si="35"/>
        <v>8.7406955380577447</v>
      </c>
      <c r="BE9" s="5"/>
      <c r="BF9" s="153">
        <f t="shared" si="59"/>
        <v>2.0159365069366639E-2</v>
      </c>
      <c r="BG9" s="153">
        <f t="shared" si="36"/>
        <v>8.4223512156641867E-2</v>
      </c>
      <c r="BH9" s="153"/>
      <c r="BI9" s="463">
        <f t="shared" si="37"/>
        <v>1.4223999999999991E-4</v>
      </c>
      <c r="BJ9" s="463">
        <f t="shared" si="38"/>
        <v>1.4565376000000001E-3</v>
      </c>
      <c r="BK9" s="463">
        <f t="shared" si="39"/>
        <v>6.020740740740741E-4</v>
      </c>
      <c r="BL9" s="463">
        <f t="shared" si="40"/>
        <v>3.9151730688000014E-3</v>
      </c>
      <c r="BM9">
        <f t="shared" si="41"/>
        <v>5.7999999999999996E-3</v>
      </c>
      <c r="BN9">
        <f t="shared" si="42"/>
        <v>1.8062222222222222E-6</v>
      </c>
      <c r="BO9" s="463">
        <f t="shared" si="43"/>
        <v>1.1937346640226634E-2</v>
      </c>
      <c r="BP9" s="147">
        <f t="shared" si="60"/>
        <v>11.937346640226634</v>
      </c>
      <c r="BQ9" s="463">
        <f t="shared" si="44"/>
        <v>6.9475104000000006E-3</v>
      </c>
      <c r="BR9" s="463"/>
      <c r="BT9" s="147">
        <f t="shared" si="61"/>
        <v>6.9475104000000005</v>
      </c>
      <c r="BU9" s="463">
        <f t="shared" si="45"/>
        <v>3.2511999999999987E-4</v>
      </c>
      <c r="BV9" s="463">
        <f t="shared" si="46"/>
        <v>5.6465056000000007E-3</v>
      </c>
      <c r="BW9" s="463">
        <f t="shared" si="47"/>
        <v>0</v>
      </c>
      <c r="BX9" s="463">
        <f t="shared" si="48"/>
        <v>6.691417363138082E-3</v>
      </c>
      <c r="BY9" s="463">
        <f t="shared" si="49"/>
        <v>1.6256E-3</v>
      </c>
      <c r="BZ9" s="147">
        <f t="shared" si="62"/>
        <v>8.3170173631380813</v>
      </c>
      <c r="CA9" s="153">
        <f t="shared" si="63"/>
        <v>2.7201874403364714E-2</v>
      </c>
      <c r="CB9" s="5">
        <f t="shared" si="64"/>
        <v>0.08</v>
      </c>
      <c r="CC9" s="153">
        <f t="shared" si="65"/>
        <v>0.7462556083579921</v>
      </c>
      <c r="CD9" s="5">
        <f t="shared" si="66"/>
        <v>74.625560835799206</v>
      </c>
      <c r="CG9" s="59">
        <f t="shared" si="50"/>
        <v>-50</v>
      </c>
      <c r="CH9">
        <f t="shared" si="51"/>
        <v>-50</v>
      </c>
    </row>
    <row r="10" spans="2:86" x14ac:dyDescent="0.25">
      <c r="E10" s="150">
        <v>5</v>
      </c>
      <c r="F10" s="191">
        <f t="shared" si="52"/>
        <v>5.000000000000001E-3</v>
      </c>
      <c r="G10" s="191"/>
      <c r="H10" s="191">
        <f t="shared" si="0"/>
        <v>0.10000000000000002</v>
      </c>
      <c r="I10" s="472">
        <f t="shared" si="1"/>
        <v>20</v>
      </c>
      <c r="J10" s="152">
        <f t="shared" si="2"/>
        <v>20.32</v>
      </c>
      <c r="K10" s="386">
        <f t="shared" si="3"/>
        <v>40.32</v>
      </c>
      <c r="L10" s="386"/>
      <c r="M10" s="191">
        <f t="shared" si="4"/>
        <v>0.50396825396825395</v>
      </c>
      <c r="N10" s="152">
        <f t="shared" si="5"/>
        <v>3.4017857142857144</v>
      </c>
      <c r="O10" s="152">
        <f t="shared" si="53"/>
        <v>0.10000000000000002</v>
      </c>
      <c r="P10" s="191">
        <f t="shared" si="6"/>
        <v>0.17008928571428572</v>
      </c>
      <c r="Q10" s="191">
        <f t="shared" si="7"/>
        <v>20</v>
      </c>
      <c r="R10" s="191">
        <f t="shared" si="8"/>
        <v>0.18898809523809523</v>
      </c>
      <c r="S10" s="152">
        <f t="shared" si="9"/>
        <v>1330.0048108551741</v>
      </c>
      <c r="T10" s="152">
        <f t="shared" si="10"/>
        <v>20</v>
      </c>
      <c r="U10" s="191">
        <f t="shared" si="11"/>
        <v>2.2047244094488196E-2</v>
      </c>
      <c r="V10" s="191">
        <f t="shared" si="12"/>
        <v>0.16535433070866146</v>
      </c>
      <c r="W10" s="191">
        <f t="shared" si="13"/>
        <v>0.16275032550065105</v>
      </c>
      <c r="X10" s="175">
        <f t="shared" si="14"/>
        <v>350</v>
      </c>
      <c r="Y10" s="386">
        <f t="shared" si="54"/>
        <v>350</v>
      </c>
      <c r="AA10" s="191">
        <f t="shared" si="15"/>
        <v>0.19198790627362058</v>
      </c>
      <c r="AB10" s="153">
        <f t="shared" si="16"/>
        <v>1.4172335600907029</v>
      </c>
      <c r="AC10" s="153">
        <f t="shared" si="17"/>
        <v>4.7616048182941621E-2</v>
      </c>
      <c r="AD10" s="153"/>
      <c r="AE10" s="153">
        <f t="shared" si="18"/>
        <v>1.1072834645669289</v>
      </c>
      <c r="AF10" s="317">
        <f t="shared" si="19"/>
        <v>60.207407407407423</v>
      </c>
      <c r="AG10" s="463">
        <f t="shared" si="20"/>
        <v>2.9066190944881887E-2</v>
      </c>
      <c r="AI10" s="153">
        <f t="shared" si="21"/>
        <v>6.5578419472636748E-2</v>
      </c>
      <c r="AJ10" s="153">
        <f t="shared" si="22"/>
        <v>0.15</v>
      </c>
      <c r="AK10" s="153">
        <f t="shared" si="23"/>
        <v>1.0344042328042329</v>
      </c>
      <c r="AM10" s="317">
        <f t="shared" si="24"/>
        <v>5.0000000000000009</v>
      </c>
      <c r="AN10" s="147">
        <f t="shared" si="25"/>
        <v>60.207407407407423</v>
      </c>
      <c r="AP10">
        <f t="shared" si="26"/>
        <v>5.0000000000000009</v>
      </c>
      <c r="AQ10" s="147">
        <f t="shared" si="27"/>
        <v>60.207407407407423</v>
      </c>
      <c r="AR10" s="147"/>
      <c r="AS10" s="5">
        <f t="shared" si="55"/>
        <v>16.609251968503933</v>
      </c>
      <c r="AT10" s="5">
        <f t="shared" si="28"/>
        <v>1.1249999999999998</v>
      </c>
      <c r="AU10" s="5">
        <f t="shared" si="56"/>
        <v>15.484251968503933</v>
      </c>
      <c r="AV10" s="5">
        <f t="shared" si="29"/>
        <v>1.1072834645669289</v>
      </c>
      <c r="AW10" s="153">
        <f t="shared" si="57"/>
        <v>6.773333333333334E-2</v>
      </c>
      <c r="AX10" s="153">
        <f t="shared" si="30"/>
        <v>0.10160000000000001</v>
      </c>
      <c r="AY10" s="153">
        <f t="shared" si="31"/>
        <v>6.9919999999999996E-2</v>
      </c>
      <c r="AZ10" s="153">
        <f t="shared" si="58"/>
        <v>1.4530892448512589</v>
      </c>
      <c r="BA10" s="147">
        <f t="shared" si="32"/>
        <v>5.9640482169430262</v>
      </c>
      <c r="BB10" s="147">
        <f t="shared" si="33"/>
        <v>5.8092300000000013E-2</v>
      </c>
      <c r="BC10" s="5">
        <f t="shared" si="34"/>
        <v>8.6023622047244092E-2</v>
      </c>
      <c r="BD10" s="147">
        <f t="shared" si="35"/>
        <v>8.6190288713910768</v>
      </c>
      <c r="BE10" s="5"/>
      <c r="BF10" s="153">
        <f t="shared" si="59"/>
        <v>2.253885533916929E-2</v>
      </c>
      <c r="BG10" s="153">
        <f t="shared" si="36"/>
        <v>8.361817984146748E-2</v>
      </c>
      <c r="BH10" s="153"/>
      <c r="BI10" s="463">
        <f t="shared" si="37"/>
        <v>1.7779999999999998E-4</v>
      </c>
      <c r="BJ10" s="463">
        <f t="shared" si="38"/>
        <v>1.8206720000000004E-3</v>
      </c>
      <c r="BK10" s="463">
        <f t="shared" si="39"/>
        <v>7.5259259259259279E-4</v>
      </c>
      <c r="BL10" s="463">
        <f t="shared" si="40"/>
        <v>4.8939663360000026E-3</v>
      </c>
      <c r="BM10">
        <f t="shared" si="41"/>
        <v>5.7999999999999996E-3</v>
      </c>
      <c r="BN10">
        <f t="shared" si="42"/>
        <v>2.2577777777777782E-6</v>
      </c>
      <c r="BO10" s="463">
        <f t="shared" si="43"/>
        <v>1.3471733634467692E-2</v>
      </c>
      <c r="BP10" s="147">
        <f t="shared" si="60"/>
        <v>13.471733634467691</v>
      </c>
      <c r="BQ10" s="463">
        <f t="shared" si="44"/>
        <v>7.2518880000000006E-3</v>
      </c>
      <c r="BR10" s="463"/>
      <c r="BT10" s="147">
        <f t="shared" si="61"/>
        <v>7.251888000000001</v>
      </c>
      <c r="BU10" s="463">
        <f t="shared" si="45"/>
        <v>4.0640000000000001E-4</v>
      </c>
      <c r="BV10" s="463">
        <f t="shared" si="46"/>
        <v>5.5656319999999992E-3</v>
      </c>
      <c r="BW10" s="463">
        <f t="shared" si="47"/>
        <v>0</v>
      </c>
      <c r="BX10" s="463">
        <f t="shared" si="48"/>
        <v>6.6918729663596023E-3</v>
      </c>
      <c r="BY10" s="463">
        <f t="shared" si="49"/>
        <v>2.0320000000000008E-3</v>
      </c>
      <c r="BZ10" s="147">
        <f t="shared" si="62"/>
        <v>8.723872966359604</v>
      </c>
      <c r="CA10" s="153">
        <f t="shared" si="63"/>
        <v>2.9447494600827295E-2</v>
      </c>
      <c r="CB10" s="5">
        <f t="shared" si="64"/>
        <v>0.10000000000000002</v>
      </c>
      <c r="CC10" s="153">
        <f t="shared" si="65"/>
        <v>0.77251398575435148</v>
      </c>
      <c r="CD10" s="5">
        <f t="shared" si="66"/>
        <v>77.251398575435147</v>
      </c>
      <c r="CG10" s="59">
        <f t="shared" si="50"/>
        <v>-50</v>
      </c>
      <c r="CH10">
        <f t="shared" si="51"/>
        <v>-50</v>
      </c>
    </row>
    <row r="11" spans="2:86" x14ac:dyDescent="0.25">
      <c r="E11" s="150">
        <v>6</v>
      </c>
      <c r="F11" s="191">
        <f t="shared" si="52"/>
        <v>6.0000000000000001E-3</v>
      </c>
      <c r="G11" s="191"/>
      <c r="H11" s="191">
        <f t="shared" si="0"/>
        <v>0.12</v>
      </c>
      <c r="I11" s="472">
        <f t="shared" si="1"/>
        <v>20</v>
      </c>
      <c r="J11" s="152">
        <f t="shared" si="2"/>
        <v>20.32</v>
      </c>
      <c r="K11" s="386">
        <f t="shared" si="3"/>
        <v>40.32</v>
      </c>
      <c r="L11" s="386"/>
      <c r="M11" s="191">
        <f t="shared" si="4"/>
        <v>0.50396825396825395</v>
      </c>
      <c r="N11" s="152">
        <f t="shared" si="5"/>
        <v>3.4017857142857144</v>
      </c>
      <c r="O11" s="152">
        <f t="shared" si="53"/>
        <v>0.12</v>
      </c>
      <c r="P11" s="191">
        <f t="shared" si="6"/>
        <v>0.17008928571428572</v>
      </c>
      <c r="Q11" s="191">
        <f t="shared" si="7"/>
        <v>20</v>
      </c>
      <c r="R11" s="191">
        <f t="shared" si="8"/>
        <v>0.18898809523809523</v>
      </c>
      <c r="S11" s="152">
        <f t="shared" si="9"/>
        <v>1105.0057901480786</v>
      </c>
      <c r="T11" s="152">
        <f t="shared" si="10"/>
        <v>20</v>
      </c>
      <c r="U11" s="191">
        <f t="shared" si="11"/>
        <v>2.6456692913385826E-2</v>
      </c>
      <c r="V11" s="191">
        <f t="shared" si="12"/>
        <v>0.19842519685039367</v>
      </c>
      <c r="W11" s="191">
        <f t="shared" si="13"/>
        <v>0.19530039060078117</v>
      </c>
      <c r="X11" s="175">
        <f t="shared" si="14"/>
        <v>350</v>
      </c>
      <c r="Y11" s="386">
        <f t="shared" si="54"/>
        <v>350</v>
      </c>
      <c r="AA11" s="191">
        <f t="shared" si="15"/>
        <v>0.19198790627362058</v>
      </c>
      <c r="AB11" s="153">
        <f t="shared" si="16"/>
        <v>1.4172335600907029</v>
      </c>
      <c r="AC11" s="153">
        <f t="shared" si="17"/>
        <v>4.7616048182941621E-2</v>
      </c>
      <c r="AD11" s="153"/>
      <c r="AE11" s="153">
        <f t="shared" si="18"/>
        <v>1.1072834645669289</v>
      </c>
      <c r="AF11" s="317">
        <f t="shared" si="19"/>
        <v>72.248888888888885</v>
      </c>
      <c r="AG11" s="463">
        <f t="shared" si="20"/>
        <v>2.9066190944881887E-2</v>
      </c>
      <c r="AI11" s="153">
        <f t="shared" si="21"/>
        <v>7.1837559261398357E-2</v>
      </c>
      <c r="AJ11" s="153">
        <f t="shared" si="22"/>
        <v>0.15</v>
      </c>
      <c r="AK11" s="153">
        <f t="shared" si="23"/>
        <v>1.0412850793650794</v>
      </c>
      <c r="AM11" s="317">
        <f t="shared" si="24"/>
        <v>6</v>
      </c>
      <c r="AN11" s="147">
        <f t="shared" si="25"/>
        <v>72.248888888888885</v>
      </c>
      <c r="AP11">
        <f t="shared" si="26"/>
        <v>6</v>
      </c>
      <c r="AQ11" s="147">
        <f t="shared" si="27"/>
        <v>72.248888888888885</v>
      </c>
      <c r="AR11" s="147"/>
      <c r="AS11" s="5">
        <f t="shared" si="55"/>
        <v>13.841043307086615</v>
      </c>
      <c r="AT11" s="5">
        <f t="shared" si="28"/>
        <v>1.1249999999999998</v>
      </c>
      <c r="AU11" s="5">
        <f t="shared" si="56"/>
        <v>12.716043307086615</v>
      </c>
      <c r="AV11" s="5">
        <f t="shared" si="29"/>
        <v>1.1072834645669289</v>
      </c>
      <c r="AW11" s="153">
        <f t="shared" si="57"/>
        <v>8.1279999999999977E-2</v>
      </c>
      <c r="AX11" s="153">
        <f t="shared" si="30"/>
        <v>0.12191999999999997</v>
      </c>
      <c r="AY11" s="153">
        <f t="shared" si="31"/>
        <v>6.8903999999999993E-2</v>
      </c>
      <c r="AZ11" s="153">
        <f t="shared" si="58"/>
        <v>1.7694183211424588</v>
      </c>
      <c r="BA11" s="147">
        <f t="shared" si="32"/>
        <v>5.9640482169430262</v>
      </c>
      <c r="BB11" s="147">
        <f t="shared" si="33"/>
        <v>8.005291199999999E-2</v>
      </c>
      <c r="BC11" s="5">
        <f t="shared" si="34"/>
        <v>8.477362204724409E-2</v>
      </c>
      <c r="BD11" s="147">
        <f t="shared" si="35"/>
        <v>8.4973622047244088</v>
      </c>
      <c r="BE11" s="5"/>
      <c r="BF11" s="153">
        <f t="shared" si="59"/>
        <v>2.4690078979217541E-2</v>
      </c>
      <c r="BG11" s="153">
        <f t="shared" si="36"/>
        <v>8.3008433306502066E-2</v>
      </c>
      <c r="BH11" s="153"/>
      <c r="BI11" s="463">
        <f t="shared" si="37"/>
        <v>2.1335999999999995E-4</v>
      </c>
      <c r="BJ11" s="463">
        <f t="shared" si="38"/>
        <v>2.1848063999999998E-3</v>
      </c>
      <c r="BK11" s="463">
        <f t="shared" si="39"/>
        <v>9.0311111111111093E-4</v>
      </c>
      <c r="BL11" s="463">
        <f t="shared" si="40"/>
        <v>5.8727596032000003E-3</v>
      </c>
      <c r="BM11">
        <f t="shared" si="41"/>
        <v>5.7999999999999996E-3</v>
      </c>
      <c r="BN11">
        <f t="shared" si="42"/>
        <v>2.709333333333333E-6</v>
      </c>
      <c r="BO11" s="463">
        <f t="shared" si="43"/>
        <v>1.5006140763175095E-2</v>
      </c>
      <c r="BP11" s="147">
        <f t="shared" si="60"/>
        <v>15.006140763175095</v>
      </c>
      <c r="BQ11" s="463">
        <f t="shared" si="44"/>
        <v>7.5562656000000014E-3</v>
      </c>
      <c r="BR11" s="463"/>
      <c r="BT11" s="147">
        <f t="shared" si="61"/>
        <v>7.5562656000000015</v>
      </c>
      <c r="BU11" s="463">
        <f t="shared" si="45"/>
        <v>4.8767999999999988E-4</v>
      </c>
      <c r="BV11" s="463">
        <f t="shared" si="46"/>
        <v>5.4847584000000012E-3</v>
      </c>
      <c r="BW11" s="463">
        <f t="shared" si="47"/>
        <v>0</v>
      </c>
      <c r="BX11" s="463">
        <f t="shared" si="48"/>
        <v>6.6923285696107665E-3</v>
      </c>
      <c r="BY11" s="463">
        <f t="shared" si="49"/>
        <v>2.4383999999999999E-3</v>
      </c>
      <c r="BZ11" s="147">
        <f t="shared" si="62"/>
        <v>9.1307285696107652</v>
      </c>
      <c r="CA11" s="153">
        <f t="shared" si="63"/>
        <v>3.169313493278586E-2</v>
      </c>
      <c r="CB11" s="5">
        <f t="shared" si="64"/>
        <v>0.12</v>
      </c>
      <c r="CC11" s="153">
        <f t="shared" si="65"/>
        <v>0.79107073667619265</v>
      </c>
      <c r="CD11" s="5">
        <f t="shared" si="66"/>
        <v>79.107073667619261</v>
      </c>
      <c r="CG11" s="59">
        <f t="shared" si="50"/>
        <v>-50</v>
      </c>
      <c r="CH11">
        <f t="shared" si="51"/>
        <v>-50</v>
      </c>
    </row>
    <row r="12" spans="2:86" x14ac:dyDescent="0.25">
      <c r="E12" s="150">
        <v>7</v>
      </c>
      <c r="F12" s="191">
        <f t="shared" si="52"/>
        <v>7.000000000000001E-3</v>
      </c>
      <c r="G12" s="191"/>
      <c r="H12" s="191">
        <f t="shared" si="0"/>
        <v>0.14000000000000001</v>
      </c>
      <c r="I12" s="472">
        <f t="shared" si="1"/>
        <v>20</v>
      </c>
      <c r="J12" s="152">
        <f t="shared" si="2"/>
        <v>20.32</v>
      </c>
      <c r="K12" s="386">
        <f t="shared" si="3"/>
        <v>40.32</v>
      </c>
      <c r="L12" s="386"/>
      <c r="M12" s="191">
        <f t="shared" si="4"/>
        <v>0.50396825396825395</v>
      </c>
      <c r="N12" s="152">
        <f t="shared" si="5"/>
        <v>3.4017857142857144</v>
      </c>
      <c r="O12" s="152">
        <f t="shared" si="53"/>
        <v>0.14000000000000001</v>
      </c>
      <c r="P12" s="191">
        <f t="shared" si="6"/>
        <v>0.17008928571428572</v>
      </c>
      <c r="Q12" s="191">
        <f t="shared" si="7"/>
        <v>20</v>
      </c>
      <c r="R12" s="191">
        <f t="shared" si="8"/>
        <v>0.18898809523809523</v>
      </c>
      <c r="S12" s="152">
        <f t="shared" si="9"/>
        <v>944.29248955077867</v>
      </c>
      <c r="T12" s="152">
        <f t="shared" si="10"/>
        <v>20</v>
      </c>
      <c r="U12" s="191">
        <f t="shared" si="11"/>
        <v>3.086614173228347E-2</v>
      </c>
      <c r="V12" s="191">
        <f t="shared" si="12"/>
        <v>0.23149606299212602</v>
      </c>
      <c r="W12" s="191">
        <f t="shared" si="13"/>
        <v>0.22785045570091142</v>
      </c>
      <c r="X12" s="175">
        <f t="shared" si="14"/>
        <v>350</v>
      </c>
      <c r="Y12" s="386">
        <f t="shared" si="54"/>
        <v>350</v>
      </c>
      <c r="AA12" s="191">
        <f t="shared" si="15"/>
        <v>0.19198790627362058</v>
      </c>
      <c r="AB12" s="153">
        <f t="shared" si="16"/>
        <v>1.4172335600907029</v>
      </c>
      <c r="AC12" s="153">
        <f t="shared" si="17"/>
        <v>4.7616048182941621E-2</v>
      </c>
      <c r="AD12" s="153"/>
      <c r="AE12" s="153">
        <f t="shared" si="18"/>
        <v>1.1072834645669289</v>
      </c>
      <c r="AF12" s="317">
        <f t="shared" si="19"/>
        <v>84.290370370370397</v>
      </c>
      <c r="AG12" s="463">
        <f t="shared" si="20"/>
        <v>2.9066190944881887E-2</v>
      </c>
      <c r="AI12" s="153">
        <f t="shared" si="21"/>
        <v>7.7593432329938483E-2</v>
      </c>
      <c r="AJ12" s="153">
        <f t="shared" si="22"/>
        <v>0.15</v>
      </c>
      <c r="AK12" s="153">
        <f t="shared" si="23"/>
        <v>1.0481659259259259</v>
      </c>
      <c r="AM12" s="317">
        <f t="shared" si="24"/>
        <v>7.0000000000000009</v>
      </c>
      <c r="AN12" s="147">
        <f t="shared" si="25"/>
        <v>84.290370370370397</v>
      </c>
      <c r="AP12">
        <f t="shared" si="26"/>
        <v>7.0000000000000009</v>
      </c>
      <c r="AQ12" s="147">
        <f t="shared" si="27"/>
        <v>84.290370370370397</v>
      </c>
      <c r="AR12" s="147"/>
      <c r="AS12" s="5">
        <f t="shared" si="55"/>
        <v>11.863751406074238</v>
      </c>
      <c r="AT12" s="5">
        <f t="shared" si="28"/>
        <v>1.1249999999999998</v>
      </c>
      <c r="AU12" s="5">
        <f t="shared" si="56"/>
        <v>10.738751406074238</v>
      </c>
      <c r="AV12" s="5">
        <f t="shared" si="29"/>
        <v>1.1072834645669289</v>
      </c>
      <c r="AW12" s="153">
        <f t="shared" si="57"/>
        <v>9.482666666666667E-2</v>
      </c>
      <c r="AX12" s="153">
        <f t="shared" si="30"/>
        <v>0.14224000000000003</v>
      </c>
      <c r="AY12" s="153">
        <f t="shared" si="31"/>
        <v>6.7888000000000004E-2</v>
      </c>
      <c r="AZ12" s="153">
        <f t="shared" si="58"/>
        <v>2.0952156493047376</v>
      </c>
      <c r="BA12" s="147">
        <f t="shared" si="32"/>
        <v>5.9640482169430262</v>
      </c>
      <c r="BB12" s="147">
        <f t="shared" si="33"/>
        <v>0.10546090800000002</v>
      </c>
      <c r="BC12" s="5">
        <f t="shared" si="34"/>
        <v>8.3523622047244075E-2</v>
      </c>
      <c r="BD12" s="147">
        <f t="shared" si="35"/>
        <v>8.3756955380577409</v>
      </c>
      <c r="BE12" s="5"/>
      <c r="BF12" s="153">
        <f t="shared" si="59"/>
        <v>2.6668333281253256E-2</v>
      </c>
      <c r="BG12" s="153">
        <f t="shared" si="36"/>
        <v>8.2394174551360125E-2</v>
      </c>
      <c r="BH12" s="153"/>
      <c r="BI12" s="463">
        <f t="shared" si="37"/>
        <v>2.4892000000000002E-4</v>
      </c>
      <c r="BJ12" s="463">
        <f t="shared" si="38"/>
        <v>2.5489408000000007E-3</v>
      </c>
      <c r="BK12" s="463">
        <f t="shared" si="39"/>
        <v>1.0536296296296298E-3</v>
      </c>
      <c r="BL12" s="463">
        <f t="shared" si="40"/>
        <v>6.8515528704000041E-3</v>
      </c>
      <c r="BM12">
        <f t="shared" si="41"/>
        <v>5.7999999999999996E-3</v>
      </c>
      <c r="BN12">
        <f t="shared" si="42"/>
        <v>3.1608888888888899E-6</v>
      </c>
      <c r="BO12" s="463">
        <f t="shared" si="43"/>
        <v>1.6540568026745171E-2</v>
      </c>
      <c r="BP12" s="147">
        <f t="shared" si="60"/>
        <v>16.54056802674517</v>
      </c>
      <c r="BQ12" s="463">
        <f t="shared" si="44"/>
        <v>7.8606432000000014E-3</v>
      </c>
      <c r="BR12" s="463"/>
      <c r="BT12" s="147">
        <f t="shared" si="61"/>
        <v>7.8606432000000011</v>
      </c>
      <c r="BU12" s="463">
        <f t="shared" si="45"/>
        <v>5.6896000000000008E-4</v>
      </c>
      <c r="BV12" s="463">
        <f t="shared" si="46"/>
        <v>5.4038848000000006E-3</v>
      </c>
      <c r="BW12" s="463">
        <f t="shared" si="47"/>
        <v>0</v>
      </c>
      <c r="BX12" s="463">
        <f t="shared" si="48"/>
        <v>6.6927841728915676E-3</v>
      </c>
      <c r="BY12" s="463">
        <f t="shared" si="49"/>
        <v>2.8448000000000011E-3</v>
      </c>
      <c r="BZ12" s="147">
        <f t="shared" si="62"/>
        <v>9.5375841728915685</v>
      </c>
      <c r="CA12" s="153">
        <f t="shared" si="63"/>
        <v>3.3938795399636741E-2</v>
      </c>
      <c r="CB12" s="5">
        <f t="shared" si="64"/>
        <v>0.14000000000000001</v>
      </c>
      <c r="CC12" s="153">
        <f t="shared" si="65"/>
        <v>0.80488081844156767</v>
      </c>
      <c r="CD12" s="5">
        <f t="shared" si="66"/>
        <v>80.488081844156767</v>
      </c>
      <c r="CG12" s="59">
        <f t="shared" si="50"/>
        <v>-50</v>
      </c>
      <c r="CH12">
        <f t="shared" si="51"/>
        <v>-50</v>
      </c>
    </row>
    <row r="13" spans="2:86" s="59" customFormat="1" x14ac:dyDescent="0.25">
      <c r="E13" s="150">
        <v>8</v>
      </c>
      <c r="F13" s="191">
        <f t="shared" si="52"/>
        <v>8.0000000000000002E-3</v>
      </c>
      <c r="G13" s="191"/>
      <c r="H13" s="191">
        <f t="shared" si="0"/>
        <v>0.16</v>
      </c>
      <c r="I13" s="472">
        <f t="shared" si="1"/>
        <v>20</v>
      </c>
      <c r="J13" s="152">
        <f t="shared" si="2"/>
        <v>20.32</v>
      </c>
      <c r="K13" s="386">
        <f t="shared" si="3"/>
        <v>40.32</v>
      </c>
      <c r="L13" s="386"/>
      <c r="M13" s="191">
        <f t="shared" si="4"/>
        <v>0.50396825396825395</v>
      </c>
      <c r="N13" s="152">
        <f t="shared" si="5"/>
        <v>3.4017857142857144</v>
      </c>
      <c r="O13" s="152">
        <f t="shared" si="53"/>
        <v>0.16</v>
      </c>
      <c r="P13" s="191">
        <f t="shared" si="6"/>
        <v>0.17008928571428572</v>
      </c>
      <c r="Q13" s="191">
        <f t="shared" si="7"/>
        <v>20</v>
      </c>
      <c r="R13" s="191">
        <f t="shared" si="8"/>
        <v>0.18898809523809523</v>
      </c>
      <c r="S13" s="152">
        <f t="shared" si="9"/>
        <v>823.75776625733886</v>
      </c>
      <c r="T13" s="152">
        <f t="shared" si="10"/>
        <v>20</v>
      </c>
      <c r="U13" s="191">
        <f t="shared" si="11"/>
        <v>3.5275590551181103E-2</v>
      </c>
      <c r="V13" s="191">
        <f t="shared" si="12"/>
        <v>0.26456692913385821</v>
      </c>
      <c r="W13" s="191">
        <f t="shared" si="13"/>
        <v>0.26040052080104154</v>
      </c>
      <c r="X13" s="175">
        <f t="shared" si="14"/>
        <v>350</v>
      </c>
      <c r="Y13" s="386">
        <f t="shared" si="54"/>
        <v>350</v>
      </c>
      <c r="AA13" s="191">
        <f t="shared" si="15"/>
        <v>0.19198790627362058</v>
      </c>
      <c r="AB13" s="153">
        <f t="shared" si="16"/>
        <v>1.4172335600907029</v>
      </c>
      <c r="AC13" s="469">
        <f t="shared" si="17"/>
        <v>4.7616048182941621E-2</v>
      </c>
      <c r="AD13" s="469"/>
      <c r="AE13" s="153">
        <f t="shared" si="18"/>
        <v>1.1072834645669289</v>
      </c>
      <c r="AF13" s="317">
        <f t="shared" si="19"/>
        <v>96.331851851851852</v>
      </c>
      <c r="AG13" s="463">
        <f t="shared" si="20"/>
        <v>2.9066190944881887E-2</v>
      </c>
      <c r="AH13"/>
      <c r="AI13" s="153">
        <f t="shared" si="21"/>
        <v>8.2950868354988078E-2</v>
      </c>
      <c r="AJ13" s="153">
        <f t="shared" si="22"/>
        <v>0.15</v>
      </c>
      <c r="AK13" s="153">
        <f t="shared" si="23"/>
        <v>1.0550467724867725</v>
      </c>
      <c r="AM13" s="317">
        <f t="shared" si="24"/>
        <v>8</v>
      </c>
      <c r="AN13" s="147">
        <f t="shared" si="25"/>
        <v>96.331851851851852</v>
      </c>
      <c r="AP13">
        <f t="shared" si="26"/>
        <v>8</v>
      </c>
      <c r="AQ13" s="147">
        <f t="shared" si="27"/>
        <v>96.331851851851852</v>
      </c>
      <c r="AR13" s="147"/>
      <c r="AS13" s="5">
        <f t="shared" si="55"/>
        <v>10.380782480314961</v>
      </c>
      <c r="AT13" s="5">
        <f t="shared" si="28"/>
        <v>1.1249999999999998</v>
      </c>
      <c r="AU13" s="5">
        <f t="shared" si="56"/>
        <v>9.2557824803149611</v>
      </c>
      <c r="AV13" s="5">
        <f t="shared" si="29"/>
        <v>1.1072834645669289</v>
      </c>
      <c r="AW13" s="153">
        <f t="shared" si="57"/>
        <v>0.10837333333333331</v>
      </c>
      <c r="AX13" s="153">
        <f t="shared" si="30"/>
        <v>0.16255999999999995</v>
      </c>
      <c r="AY13" s="153">
        <f t="shared" si="31"/>
        <v>6.6872000000000001E-2</v>
      </c>
      <c r="AZ13" s="153">
        <f t="shared" si="58"/>
        <v>2.4309127886110771</v>
      </c>
      <c r="BA13" s="147">
        <f t="shared" si="32"/>
        <v>5.9640482169430262</v>
      </c>
      <c r="BB13" s="147">
        <f t="shared" si="33"/>
        <v>0.13431628799999995</v>
      </c>
      <c r="BC13" s="5">
        <f t="shared" si="34"/>
        <v>8.2273622047244102E-2</v>
      </c>
      <c r="BD13" s="147">
        <f t="shared" si="35"/>
        <v>8.2540288713910765</v>
      </c>
      <c r="BE13" s="5"/>
      <c r="BF13" s="153">
        <f t="shared" si="59"/>
        <v>2.8509647489928736E-2</v>
      </c>
      <c r="BG13" s="153">
        <f t="shared" si="36"/>
        <v>8.1775301894887562E-2</v>
      </c>
      <c r="BH13" s="153"/>
      <c r="BI13" s="463">
        <f t="shared" si="37"/>
        <v>2.8447999999999993E-4</v>
      </c>
      <c r="BJ13" s="463">
        <f t="shared" si="38"/>
        <v>2.9130752000000003E-3</v>
      </c>
      <c r="BK13" s="463">
        <f t="shared" si="39"/>
        <v>1.2041481481481482E-3</v>
      </c>
      <c r="BL13" s="463">
        <f t="shared" si="40"/>
        <v>7.8303461376000028E-3</v>
      </c>
      <c r="BM13">
        <f t="shared" si="41"/>
        <v>5.7999999999999996E-3</v>
      </c>
      <c r="BN13">
        <f t="shared" si="42"/>
        <v>3.6124444444444443E-6</v>
      </c>
      <c r="BO13" s="463">
        <f t="shared" si="43"/>
        <v>1.8075015425574228E-2</v>
      </c>
      <c r="BP13" s="147">
        <f t="shared" si="60"/>
        <v>18.075015425574229</v>
      </c>
      <c r="BQ13" s="463">
        <f t="shared" si="44"/>
        <v>8.1650208000000005E-3</v>
      </c>
      <c r="BR13" s="463"/>
      <c r="BT13" s="147">
        <f t="shared" si="61"/>
        <v>8.1650208000000006</v>
      </c>
      <c r="BU13" s="463">
        <f t="shared" si="45"/>
        <v>6.5023999999999985E-4</v>
      </c>
      <c r="BV13" s="463">
        <f t="shared" si="46"/>
        <v>5.3230112000000008E-3</v>
      </c>
      <c r="BW13" s="463">
        <f t="shared" si="47"/>
        <v>0</v>
      </c>
      <c r="BX13" s="463">
        <f t="shared" si="48"/>
        <v>6.6932397762020082E-3</v>
      </c>
      <c r="BY13" s="463">
        <f t="shared" si="49"/>
        <v>3.2512000000000001E-3</v>
      </c>
      <c r="BZ13" s="147">
        <f t="shared" si="62"/>
        <v>9.9444397762020085</v>
      </c>
      <c r="CA13" s="153">
        <f t="shared" si="63"/>
        <v>3.6184476001776239E-2</v>
      </c>
      <c r="CB13" s="5">
        <f t="shared" si="64"/>
        <v>0.16</v>
      </c>
      <c r="CC13" s="153">
        <f t="shared" si="65"/>
        <v>0.81555892321750967</v>
      </c>
      <c r="CD13" s="5">
        <f t="shared" si="66"/>
        <v>81.55589232175096</v>
      </c>
      <c r="CG13" s="59">
        <f t="shared" si="50"/>
        <v>-50</v>
      </c>
      <c r="CH13">
        <f t="shared" si="51"/>
        <v>-50</v>
      </c>
    </row>
    <row r="14" spans="2:86" x14ac:dyDescent="0.25">
      <c r="E14" s="150">
        <v>9</v>
      </c>
      <c r="F14" s="191">
        <f t="shared" si="52"/>
        <v>8.9999999999999993E-3</v>
      </c>
      <c r="G14" s="191"/>
      <c r="H14" s="191">
        <f t="shared" si="0"/>
        <v>0.18</v>
      </c>
      <c r="I14" s="472">
        <f t="shared" si="1"/>
        <v>20</v>
      </c>
      <c r="J14" s="152">
        <f t="shared" si="2"/>
        <v>20.32</v>
      </c>
      <c r="K14" s="386">
        <f t="shared" si="3"/>
        <v>40.32</v>
      </c>
      <c r="L14" s="386"/>
      <c r="M14" s="191">
        <f t="shared" si="4"/>
        <v>0.50396825396825395</v>
      </c>
      <c r="N14" s="152">
        <f t="shared" si="5"/>
        <v>3.4017857142857144</v>
      </c>
      <c r="O14" s="152">
        <f t="shared" si="53"/>
        <v>0.18</v>
      </c>
      <c r="P14" s="191">
        <f t="shared" si="6"/>
        <v>0.17008928571428572</v>
      </c>
      <c r="Q14" s="191">
        <f t="shared" si="7"/>
        <v>20</v>
      </c>
      <c r="R14" s="191">
        <f t="shared" si="8"/>
        <v>0.18898809523809523</v>
      </c>
      <c r="S14" s="152">
        <f t="shared" si="9"/>
        <v>730.00876317669895</v>
      </c>
      <c r="T14" s="152">
        <f t="shared" si="10"/>
        <v>20</v>
      </c>
      <c r="U14" s="191">
        <f t="shared" si="11"/>
        <v>3.9685039370078737E-2</v>
      </c>
      <c r="V14" s="191">
        <f t="shared" si="12"/>
        <v>0.29763779527559048</v>
      </c>
      <c r="W14" s="191">
        <f t="shared" si="13"/>
        <v>0.29295058590117173</v>
      </c>
      <c r="X14" s="175">
        <f t="shared" si="14"/>
        <v>350</v>
      </c>
      <c r="Y14" s="386">
        <f t="shared" si="54"/>
        <v>350</v>
      </c>
      <c r="AA14" s="191">
        <f t="shared" si="15"/>
        <v>0.19198790627362058</v>
      </c>
      <c r="AB14" s="153">
        <f t="shared" si="16"/>
        <v>1.4172335600907029</v>
      </c>
      <c r="AC14" s="153">
        <f t="shared" si="17"/>
        <v>4.7616048182941621E-2</v>
      </c>
      <c r="AD14" s="153"/>
      <c r="AE14" s="153">
        <f t="shared" si="18"/>
        <v>1.1072834645669289</v>
      </c>
      <c r="AF14" s="317">
        <f t="shared" si="19"/>
        <v>108.37333333333333</v>
      </c>
      <c r="AG14" s="463">
        <f t="shared" si="20"/>
        <v>2.9066190944881887E-2</v>
      </c>
      <c r="AI14" s="153">
        <f t="shared" si="21"/>
        <v>8.7982682278686983E-2</v>
      </c>
      <c r="AJ14" s="153">
        <f t="shared" si="22"/>
        <v>0.15</v>
      </c>
      <c r="AK14" s="153">
        <f t="shared" si="23"/>
        <v>1.061927619047619</v>
      </c>
      <c r="AM14" s="317">
        <f t="shared" si="24"/>
        <v>9</v>
      </c>
      <c r="AN14" s="147">
        <f t="shared" si="25"/>
        <v>108.37333333333333</v>
      </c>
      <c r="AP14">
        <f t="shared" si="26"/>
        <v>9</v>
      </c>
      <c r="AQ14" s="147">
        <f t="shared" si="27"/>
        <v>108.37333333333333</v>
      </c>
      <c r="AR14" s="147"/>
      <c r="AS14" s="5">
        <f t="shared" si="55"/>
        <v>9.2273622047244093</v>
      </c>
      <c r="AT14" s="5">
        <f t="shared" si="28"/>
        <v>1.1249999999999998</v>
      </c>
      <c r="AU14" s="5">
        <f t="shared" si="56"/>
        <v>8.1023622047244093</v>
      </c>
      <c r="AV14" s="5">
        <f t="shared" si="29"/>
        <v>1.1072834645669289</v>
      </c>
      <c r="AW14" s="153">
        <f t="shared" si="57"/>
        <v>0.12191999999999997</v>
      </c>
      <c r="AX14" s="153">
        <f t="shared" si="30"/>
        <v>0.18287999999999999</v>
      </c>
      <c r="AY14" s="153">
        <f t="shared" si="31"/>
        <v>6.5855999999999998E-2</v>
      </c>
      <c r="AZ14" s="153">
        <f t="shared" si="58"/>
        <v>2.7769679300291545</v>
      </c>
      <c r="BA14" s="147">
        <f t="shared" si="32"/>
        <v>5.9640482169430262</v>
      </c>
      <c r="BB14" s="147">
        <f t="shared" si="33"/>
        <v>0.16661905199999996</v>
      </c>
      <c r="BC14" s="5">
        <f t="shared" si="34"/>
        <v>8.1023622047244087E-2</v>
      </c>
      <c r="BD14" s="147">
        <f t="shared" si="35"/>
        <v>8.1323622047244104</v>
      </c>
      <c r="BE14" s="5"/>
      <c r="BF14" s="153">
        <f t="shared" si="59"/>
        <v>3.0239047604049961E-2</v>
      </c>
      <c r="BG14" s="153">
        <f t="shared" si="36"/>
        <v>8.115170977866086E-2</v>
      </c>
      <c r="BH14" s="153"/>
      <c r="BI14" s="463">
        <f t="shared" si="37"/>
        <v>3.2003999999999984E-4</v>
      </c>
      <c r="BJ14" s="463">
        <f t="shared" si="38"/>
        <v>3.2772095999999999E-3</v>
      </c>
      <c r="BK14" s="463">
        <f t="shared" si="39"/>
        <v>1.3546666666666668E-3</v>
      </c>
      <c r="BL14" s="463">
        <f t="shared" si="40"/>
        <v>8.8091394048000014E-3</v>
      </c>
      <c r="BM14">
        <f t="shared" si="41"/>
        <v>5.7999999999999996E-3</v>
      </c>
      <c r="BN14">
        <f t="shared" si="42"/>
        <v>4.0639999999999995E-6</v>
      </c>
      <c r="BO14" s="463">
        <f t="shared" si="43"/>
        <v>1.9609482960058613E-2</v>
      </c>
      <c r="BP14" s="147">
        <f t="shared" si="60"/>
        <v>19.609482960058614</v>
      </c>
      <c r="BQ14" s="463">
        <f t="shared" si="44"/>
        <v>8.4693984000000014E-3</v>
      </c>
      <c r="BR14" s="463"/>
      <c r="BT14" s="147">
        <f t="shared" si="61"/>
        <v>8.4693984000000011</v>
      </c>
      <c r="BU14" s="463">
        <f t="shared" si="45"/>
        <v>7.3151999999999983E-4</v>
      </c>
      <c r="BV14" s="463">
        <f t="shared" si="46"/>
        <v>5.2421376000000011E-3</v>
      </c>
      <c r="BW14" s="463">
        <f t="shared" si="47"/>
        <v>0</v>
      </c>
      <c r="BX14" s="463">
        <f t="shared" si="48"/>
        <v>6.6936953795420891E-3</v>
      </c>
      <c r="BY14" s="463">
        <f t="shared" si="49"/>
        <v>3.6576000000000004E-3</v>
      </c>
      <c r="BZ14" s="147">
        <f t="shared" si="62"/>
        <v>10.351295379542089</v>
      </c>
      <c r="CA14" s="153">
        <f t="shared" si="63"/>
        <v>3.843017673960071E-2</v>
      </c>
      <c r="CB14" s="5">
        <f t="shared" si="64"/>
        <v>0.18</v>
      </c>
      <c r="CC14" s="153">
        <f t="shared" si="65"/>
        <v>0.82406196198149473</v>
      </c>
      <c r="CD14" s="5">
        <f t="shared" si="66"/>
        <v>82.406196198149473</v>
      </c>
      <c r="CG14" s="59">
        <f t="shared" si="50"/>
        <v>-50</v>
      </c>
      <c r="CH14">
        <f t="shared" si="51"/>
        <v>-50</v>
      </c>
    </row>
    <row r="15" spans="2:86" x14ac:dyDescent="0.25">
      <c r="E15" s="150">
        <v>10</v>
      </c>
      <c r="F15" s="191">
        <f t="shared" si="52"/>
        <v>1.0000000000000002E-2</v>
      </c>
      <c r="G15" s="191"/>
      <c r="H15" s="191">
        <f t="shared" si="0"/>
        <v>0.20000000000000004</v>
      </c>
      <c r="I15" s="472">
        <f t="shared" si="1"/>
        <v>20</v>
      </c>
      <c r="J15" s="152">
        <f t="shared" si="2"/>
        <v>20.32</v>
      </c>
      <c r="K15" s="386">
        <f t="shared" si="3"/>
        <v>40.32</v>
      </c>
      <c r="L15" s="386"/>
      <c r="M15" s="191">
        <f t="shared" si="4"/>
        <v>0.50396825396825395</v>
      </c>
      <c r="N15" s="152">
        <f t="shared" si="5"/>
        <v>3.4017857142857144</v>
      </c>
      <c r="O15" s="152">
        <f t="shared" si="53"/>
        <v>0.20000000000000004</v>
      </c>
      <c r="P15" s="191">
        <f t="shared" si="6"/>
        <v>0.17008928571428572</v>
      </c>
      <c r="Q15" s="191">
        <f t="shared" si="7"/>
        <v>20</v>
      </c>
      <c r="R15" s="191">
        <f t="shared" si="8"/>
        <v>0.18898809523809523</v>
      </c>
      <c r="S15" s="152">
        <f t="shared" si="9"/>
        <v>655.00976607554128</v>
      </c>
      <c r="T15" s="152">
        <f t="shared" si="10"/>
        <v>20</v>
      </c>
      <c r="U15" s="191">
        <f t="shared" si="11"/>
        <v>4.4094488188976391E-2</v>
      </c>
      <c r="V15" s="191">
        <f t="shared" si="12"/>
        <v>0.33070866141732291</v>
      </c>
      <c r="W15" s="191">
        <f t="shared" si="13"/>
        <v>0.3255006510013021</v>
      </c>
      <c r="X15" s="175">
        <f t="shared" si="14"/>
        <v>350</v>
      </c>
      <c r="Y15" s="386">
        <f t="shared" si="54"/>
        <v>350</v>
      </c>
      <c r="AA15" s="191">
        <f t="shared" si="15"/>
        <v>0.19198790627362058</v>
      </c>
      <c r="AB15" s="153">
        <f t="shared" si="16"/>
        <v>1.4172335600907029</v>
      </c>
      <c r="AC15" s="153">
        <f t="shared" si="17"/>
        <v>4.7616048182941621E-2</v>
      </c>
      <c r="AD15" s="153"/>
      <c r="AE15" s="153">
        <f t="shared" si="18"/>
        <v>1.1072834645669289</v>
      </c>
      <c r="AF15" s="317">
        <f t="shared" si="19"/>
        <v>120.41481481481485</v>
      </c>
      <c r="AG15" s="463">
        <f t="shared" si="20"/>
        <v>2.9066190944881887E-2</v>
      </c>
      <c r="AI15" s="153">
        <f t="shared" si="21"/>
        <v>9.2741890217194756E-2</v>
      </c>
      <c r="AJ15" s="153">
        <f t="shared" si="22"/>
        <v>0.15</v>
      </c>
      <c r="AK15" s="153">
        <f t="shared" si="23"/>
        <v>1.0688084656084655</v>
      </c>
      <c r="AM15" s="317">
        <f t="shared" si="24"/>
        <v>10.000000000000002</v>
      </c>
      <c r="AN15" s="147">
        <f t="shared" si="25"/>
        <v>120.41481481481485</v>
      </c>
      <c r="AP15">
        <f t="shared" si="26"/>
        <v>10.000000000000002</v>
      </c>
      <c r="AQ15" s="147">
        <f t="shared" si="27"/>
        <v>120.41481481481485</v>
      </c>
      <c r="AR15" s="147"/>
      <c r="AS15" s="5">
        <f t="shared" si="55"/>
        <v>8.3046259842519667</v>
      </c>
      <c r="AT15" s="5">
        <f t="shared" si="28"/>
        <v>1.1249999999999998</v>
      </c>
      <c r="AU15" s="5">
        <f t="shared" si="56"/>
        <v>7.1796259842519667</v>
      </c>
      <c r="AV15" s="5">
        <f t="shared" si="29"/>
        <v>1.1072834645669289</v>
      </c>
      <c r="AW15" s="153">
        <f t="shared" si="57"/>
        <v>0.13546666666666668</v>
      </c>
      <c r="AX15" s="153">
        <f t="shared" si="30"/>
        <v>0.20320000000000002</v>
      </c>
      <c r="AY15" s="153">
        <f t="shared" si="31"/>
        <v>6.4839999999999995E-2</v>
      </c>
      <c r="AZ15" s="153">
        <f t="shared" si="58"/>
        <v>3.1338679827267124</v>
      </c>
      <c r="BA15" s="147">
        <f t="shared" si="32"/>
        <v>5.9640482169430262</v>
      </c>
      <c r="BB15" s="147">
        <f t="shared" si="33"/>
        <v>0.20236920000000005</v>
      </c>
      <c r="BC15" s="5">
        <f t="shared" si="34"/>
        <v>7.9773622047244086E-2</v>
      </c>
      <c r="BD15" s="147">
        <f t="shared" si="35"/>
        <v>8.0106955380577425</v>
      </c>
      <c r="BE15" s="5"/>
      <c r="BF15" s="153">
        <f t="shared" si="59"/>
        <v>3.1874754901018452E-2</v>
      </c>
      <c r="BG15" s="153">
        <f t="shared" si="36"/>
        <v>8.0523288556789585E-2</v>
      </c>
      <c r="BH15" s="153"/>
      <c r="BI15" s="463">
        <f t="shared" si="37"/>
        <v>3.5559999999999992E-4</v>
      </c>
      <c r="BJ15" s="463">
        <f t="shared" si="38"/>
        <v>3.6413440000000008E-3</v>
      </c>
      <c r="BK15" s="463">
        <f t="shared" si="39"/>
        <v>1.5051851851851856E-3</v>
      </c>
      <c r="BL15" s="463">
        <f t="shared" si="40"/>
        <v>9.7879326720000052E-3</v>
      </c>
      <c r="BM15">
        <f t="shared" si="41"/>
        <v>5.7999999999999996E-3</v>
      </c>
      <c r="BN15">
        <f t="shared" si="42"/>
        <v>4.5155555555555565E-6</v>
      </c>
      <c r="BO15" s="463">
        <f t="shared" si="43"/>
        <v>2.1143970630594675E-2</v>
      </c>
      <c r="BP15" s="147">
        <f t="shared" si="60"/>
        <v>21.143970630594676</v>
      </c>
      <c r="BQ15" s="463">
        <f t="shared" si="44"/>
        <v>8.7737760000000022E-3</v>
      </c>
      <c r="BR15" s="463"/>
      <c r="BT15" s="147">
        <f t="shared" si="61"/>
        <v>8.7737760000000016</v>
      </c>
      <c r="BU15" s="463">
        <f t="shared" si="45"/>
        <v>8.1279999999999981E-4</v>
      </c>
      <c r="BV15" s="463">
        <f t="shared" si="46"/>
        <v>5.1612640000000005E-3</v>
      </c>
      <c r="BW15" s="463">
        <f t="shared" si="47"/>
        <v>0</v>
      </c>
      <c r="BX15" s="463">
        <f t="shared" si="48"/>
        <v>6.6941509829118078E-3</v>
      </c>
      <c r="BY15" s="463">
        <f t="shared" si="49"/>
        <v>4.0640000000000016E-3</v>
      </c>
      <c r="BZ15" s="147">
        <f t="shared" si="62"/>
        <v>10.758150982911809</v>
      </c>
      <c r="CA15" s="153">
        <f t="shared" si="63"/>
        <v>4.0675897613506484E-2</v>
      </c>
      <c r="CB15" s="5">
        <f t="shared" si="64"/>
        <v>0.20000000000000004</v>
      </c>
      <c r="CC15" s="153">
        <f t="shared" si="65"/>
        <v>0.8309930573985993</v>
      </c>
      <c r="CD15" s="5">
        <f t="shared" si="66"/>
        <v>83.099305739859929</v>
      </c>
      <c r="CG15" s="59">
        <f t="shared" si="50"/>
        <v>-50</v>
      </c>
      <c r="CH15">
        <f t="shared" si="51"/>
        <v>-50</v>
      </c>
    </row>
    <row r="16" spans="2:86" x14ac:dyDescent="0.25">
      <c r="E16" s="150">
        <v>11</v>
      </c>
      <c r="F16" s="191">
        <f t="shared" si="52"/>
        <v>1.1000000000000001E-2</v>
      </c>
      <c r="G16" s="191"/>
      <c r="H16" s="191">
        <f t="shared" si="0"/>
        <v>0.22000000000000003</v>
      </c>
      <c r="I16" s="472">
        <f t="shared" si="1"/>
        <v>20</v>
      </c>
      <c r="J16" s="152">
        <f t="shared" si="2"/>
        <v>20.32</v>
      </c>
      <c r="K16" s="386">
        <f t="shared" si="3"/>
        <v>40.32</v>
      </c>
      <c r="L16" s="386"/>
      <c r="M16" s="191">
        <f t="shared" si="4"/>
        <v>0.50396825396825395</v>
      </c>
      <c r="N16" s="152">
        <f t="shared" si="5"/>
        <v>3.4017857142857144</v>
      </c>
      <c r="O16" s="152">
        <f t="shared" si="53"/>
        <v>0.22000000000000003</v>
      </c>
      <c r="P16" s="191">
        <f t="shared" si="6"/>
        <v>0.17008928571428572</v>
      </c>
      <c r="Q16" s="191">
        <f t="shared" si="7"/>
        <v>20</v>
      </c>
      <c r="R16" s="191">
        <f t="shared" si="8"/>
        <v>0.18898809523809523</v>
      </c>
      <c r="S16" s="152">
        <f t="shared" si="9"/>
        <v>593.6471386432346</v>
      </c>
      <c r="T16" s="152">
        <f t="shared" si="10"/>
        <v>20</v>
      </c>
      <c r="U16" s="191">
        <f t="shared" si="11"/>
        <v>4.8503937007874025E-2</v>
      </c>
      <c r="V16" s="191">
        <f t="shared" si="12"/>
        <v>0.36377952755905518</v>
      </c>
      <c r="W16" s="191">
        <f t="shared" si="13"/>
        <v>0.35805071610143219</v>
      </c>
      <c r="X16" s="175">
        <f t="shared" si="14"/>
        <v>350</v>
      </c>
      <c r="Y16" s="386">
        <f t="shared" si="54"/>
        <v>350</v>
      </c>
      <c r="AA16" s="191">
        <f t="shared" si="15"/>
        <v>0.19198790627362058</v>
      </c>
      <c r="AB16" s="153">
        <f t="shared" si="16"/>
        <v>1.4172335600907029</v>
      </c>
      <c r="AC16" s="153">
        <f t="shared" si="17"/>
        <v>4.7616048182941621E-2</v>
      </c>
      <c r="AD16" s="153"/>
      <c r="AE16" s="153">
        <f t="shared" si="18"/>
        <v>1.1072834645669289</v>
      </c>
      <c r="AF16" s="317">
        <f t="shared" si="19"/>
        <v>132.45629629629633</v>
      </c>
      <c r="AG16" s="463">
        <f t="shared" si="20"/>
        <v>2.9066190944881887E-2</v>
      </c>
      <c r="AI16" s="153">
        <f t="shared" si="21"/>
        <v>9.7268515055818669E-2</v>
      </c>
      <c r="AJ16" s="153">
        <f t="shared" si="22"/>
        <v>0.15</v>
      </c>
      <c r="AK16" s="153">
        <f t="shared" si="23"/>
        <v>1.0756893121693123</v>
      </c>
      <c r="AM16" s="317">
        <f t="shared" si="24"/>
        <v>11.000000000000002</v>
      </c>
      <c r="AN16" s="147">
        <f t="shared" si="25"/>
        <v>132.45629629629633</v>
      </c>
      <c r="AP16">
        <f t="shared" si="26"/>
        <v>11.000000000000002</v>
      </c>
      <c r="AQ16" s="147">
        <f t="shared" si="27"/>
        <v>132.45629629629633</v>
      </c>
      <c r="AR16" s="147"/>
      <c r="AS16" s="5">
        <f t="shared" si="55"/>
        <v>7.549659985683606</v>
      </c>
      <c r="AT16" s="5">
        <f t="shared" si="28"/>
        <v>1.1249999999999998</v>
      </c>
      <c r="AU16" s="5">
        <f t="shared" si="56"/>
        <v>6.424659985683606</v>
      </c>
      <c r="AV16" s="5">
        <f t="shared" si="29"/>
        <v>1.1072834645669289</v>
      </c>
      <c r="AW16" s="153">
        <f t="shared" si="57"/>
        <v>0.14901333333333333</v>
      </c>
      <c r="AX16" s="153">
        <f t="shared" si="30"/>
        <v>0.22352000000000002</v>
      </c>
      <c r="AY16" s="153">
        <f t="shared" si="31"/>
        <v>6.3823999999999992E-2</v>
      </c>
      <c r="AZ16" s="153">
        <f t="shared" si="58"/>
        <v>3.5021308598646286</v>
      </c>
      <c r="BA16" s="147">
        <f t="shared" si="32"/>
        <v>5.9640482169430262</v>
      </c>
      <c r="BB16" s="147">
        <f t="shared" si="33"/>
        <v>0.24156673200000003</v>
      </c>
      <c r="BC16" s="5">
        <f t="shared" si="34"/>
        <v>7.8523622047244071E-2</v>
      </c>
      <c r="BD16" s="147">
        <f t="shared" si="35"/>
        <v>7.8890288713910746</v>
      </c>
      <c r="BE16" s="5"/>
      <c r="BF16" s="153">
        <f t="shared" si="59"/>
        <v>3.3430524973443058E-2</v>
      </c>
      <c r="BG16" s="153">
        <f t="shared" si="36"/>
        <v>7.9889924270836549E-2</v>
      </c>
      <c r="BH16" s="153"/>
      <c r="BI16" s="463">
        <f t="shared" si="37"/>
        <v>3.9115999999999999E-4</v>
      </c>
      <c r="BJ16" s="463">
        <f t="shared" si="38"/>
        <v>4.0054784000000017E-3</v>
      </c>
      <c r="BK16" s="463">
        <f t="shared" si="39"/>
        <v>1.6557037037037039E-3</v>
      </c>
      <c r="BL16" s="463">
        <f t="shared" si="40"/>
        <v>1.0766725939200006E-2</v>
      </c>
      <c r="BM16">
        <f t="shared" si="41"/>
        <v>5.7999999999999996E-3</v>
      </c>
      <c r="BN16">
        <f t="shared" si="42"/>
        <v>4.9671111111111125E-6</v>
      </c>
      <c r="BO16" s="463">
        <f t="shared" si="43"/>
        <v>2.2678478437578756E-2</v>
      </c>
      <c r="BP16" s="147">
        <f t="shared" si="60"/>
        <v>22.678478437578757</v>
      </c>
      <c r="BQ16" s="463">
        <f t="shared" si="44"/>
        <v>9.0781536000000013E-3</v>
      </c>
      <c r="BR16" s="463"/>
      <c r="BT16" s="147">
        <f t="shared" si="61"/>
        <v>9.078153600000002</v>
      </c>
      <c r="BU16" s="463">
        <f t="shared" si="45"/>
        <v>8.9408000000000011E-4</v>
      </c>
      <c r="BV16" s="463">
        <f t="shared" si="46"/>
        <v>5.0803903999999999E-3</v>
      </c>
      <c r="BW16" s="463">
        <f t="shared" si="47"/>
        <v>0</v>
      </c>
      <c r="BX16" s="463">
        <f t="shared" si="48"/>
        <v>6.6946065863111651E-3</v>
      </c>
      <c r="BY16" s="463">
        <f t="shared" si="49"/>
        <v>4.4704000000000011E-3</v>
      </c>
      <c r="BZ16" s="147">
        <f t="shared" si="62"/>
        <v>11.165006586311167</v>
      </c>
      <c r="CA16" s="153">
        <f t="shared" si="63"/>
        <v>4.2921638623889924E-2</v>
      </c>
      <c r="CB16" s="5">
        <f t="shared" si="64"/>
        <v>0.22000000000000003</v>
      </c>
      <c r="CC16" s="153">
        <f t="shared" si="65"/>
        <v>0.83675121283840226</v>
      </c>
      <c r="CD16" s="5">
        <f t="shared" si="66"/>
        <v>83.675121283840227</v>
      </c>
      <c r="CG16" s="59">
        <f t="shared" si="50"/>
        <v>-50</v>
      </c>
      <c r="CH16">
        <f t="shared" si="51"/>
        <v>-50</v>
      </c>
    </row>
    <row r="17" spans="5:86" x14ac:dyDescent="0.25">
      <c r="E17" s="150">
        <v>12</v>
      </c>
      <c r="F17" s="191">
        <f t="shared" si="52"/>
        <v>1.2E-2</v>
      </c>
      <c r="G17" s="191"/>
      <c r="H17" s="191">
        <f t="shared" si="0"/>
        <v>0.24</v>
      </c>
      <c r="I17" s="472">
        <f t="shared" si="1"/>
        <v>20</v>
      </c>
      <c r="J17" s="152">
        <f t="shared" si="2"/>
        <v>20.32</v>
      </c>
      <c r="K17" s="386">
        <f t="shared" si="3"/>
        <v>40.32</v>
      </c>
      <c r="L17" s="386"/>
      <c r="M17" s="191">
        <f t="shared" si="4"/>
        <v>0.50396825396825395</v>
      </c>
      <c r="N17" s="152">
        <f t="shared" si="5"/>
        <v>3.4017857142857144</v>
      </c>
      <c r="O17" s="152">
        <f t="shared" si="53"/>
        <v>0.24</v>
      </c>
      <c r="P17" s="191">
        <f t="shared" si="6"/>
        <v>0.17008928571428572</v>
      </c>
      <c r="Q17" s="191">
        <f t="shared" si="7"/>
        <v>20</v>
      </c>
      <c r="R17" s="191">
        <f t="shared" si="8"/>
        <v>0.18898809523809523</v>
      </c>
      <c r="S17" s="152">
        <f t="shared" si="9"/>
        <v>542.51179002430877</v>
      </c>
      <c r="T17" s="152">
        <f t="shared" si="10"/>
        <v>20</v>
      </c>
      <c r="U17" s="191">
        <f t="shared" si="11"/>
        <v>5.2913385826771651E-2</v>
      </c>
      <c r="V17" s="191">
        <f t="shared" si="12"/>
        <v>0.39685039370078734</v>
      </c>
      <c r="W17" s="191">
        <f t="shared" si="13"/>
        <v>0.39060078120156233</v>
      </c>
      <c r="X17" s="175">
        <f t="shared" si="14"/>
        <v>350</v>
      </c>
      <c r="Y17" s="386">
        <f t="shared" si="54"/>
        <v>350</v>
      </c>
      <c r="AA17" s="191">
        <f t="shared" si="15"/>
        <v>0.19198790627362058</v>
      </c>
      <c r="AB17" s="153">
        <f t="shared" si="16"/>
        <v>1.4172335600907029</v>
      </c>
      <c r="AC17" s="153">
        <f t="shared" si="17"/>
        <v>4.7616048182941621E-2</v>
      </c>
      <c r="AD17" s="153"/>
      <c r="AE17" s="153">
        <f t="shared" si="18"/>
        <v>1.1072834645669289</v>
      </c>
      <c r="AF17" s="317">
        <f t="shared" si="19"/>
        <v>144.49777777777777</v>
      </c>
      <c r="AG17" s="463">
        <f t="shared" si="20"/>
        <v>2.9066190944881887E-2</v>
      </c>
      <c r="AI17" s="153">
        <f t="shared" si="21"/>
        <v>0.1015936505952505</v>
      </c>
      <c r="AJ17" s="153">
        <f t="shared" si="22"/>
        <v>0.15</v>
      </c>
      <c r="AK17" s="153">
        <f t="shared" si="23"/>
        <v>1.0825701587301588</v>
      </c>
      <c r="AM17" s="317">
        <f t="shared" si="24"/>
        <v>12</v>
      </c>
      <c r="AN17" s="147">
        <f t="shared" si="25"/>
        <v>144.49777777777777</v>
      </c>
      <c r="AP17">
        <f t="shared" si="26"/>
        <v>12</v>
      </c>
      <c r="AQ17" s="147">
        <f t="shared" si="27"/>
        <v>144.49777777777777</v>
      </c>
      <c r="AR17" s="147"/>
      <c r="AS17" s="5">
        <f t="shared" si="55"/>
        <v>6.9205216535433074</v>
      </c>
      <c r="AT17" s="5">
        <f t="shared" si="28"/>
        <v>1.1249999999999998</v>
      </c>
      <c r="AU17" s="5">
        <f t="shared" si="56"/>
        <v>5.7955216535433074</v>
      </c>
      <c r="AV17" s="5">
        <f t="shared" si="29"/>
        <v>1.1072834645669289</v>
      </c>
      <c r="AW17" s="153">
        <f t="shared" si="57"/>
        <v>0.16255999999999995</v>
      </c>
      <c r="AX17" s="153">
        <f t="shared" si="30"/>
        <v>0.24383999999999995</v>
      </c>
      <c r="AY17" s="153">
        <f t="shared" si="31"/>
        <v>6.2808000000000003E-2</v>
      </c>
      <c r="AZ17" s="153">
        <f t="shared" si="58"/>
        <v>3.8823079862437897</v>
      </c>
      <c r="BA17" s="147">
        <f t="shared" si="32"/>
        <v>5.9640482169430262</v>
      </c>
      <c r="BB17" s="147">
        <f t="shared" si="33"/>
        <v>0.28421164799999998</v>
      </c>
      <c r="BC17" s="5">
        <f t="shared" si="34"/>
        <v>7.7273622047244098E-2</v>
      </c>
      <c r="BD17" s="147">
        <f t="shared" si="35"/>
        <v>7.7673622047244102</v>
      </c>
      <c r="BE17" s="5"/>
      <c r="BF17" s="153">
        <f t="shared" si="59"/>
        <v>3.491704454847231E-2</v>
      </c>
      <c r="BG17" s="153">
        <f t="shared" si="36"/>
        <v>7.9251498408547449E-2</v>
      </c>
      <c r="BH17" s="153"/>
      <c r="BI17" s="463">
        <f t="shared" si="37"/>
        <v>4.2671999999999995E-4</v>
      </c>
      <c r="BJ17" s="463">
        <f t="shared" si="38"/>
        <v>4.3696127999999996E-3</v>
      </c>
      <c r="BK17" s="463">
        <f t="shared" si="39"/>
        <v>1.8062222222222219E-3</v>
      </c>
      <c r="BL17" s="463">
        <f t="shared" si="40"/>
        <v>1.1745519206400001E-2</v>
      </c>
      <c r="BM17">
        <f t="shared" si="41"/>
        <v>5.7999999999999996E-3</v>
      </c>
      <c r="BN17">
        <f t="shared" si="42"/>
        <v>5.4186666666666661E-6</v>
      </c>
      <c r="BO17" s="463">
        <f t="shared" si="43"/>
        <v>2.4213006381407214E-2</v>
      </c>
      <c r="BP17" s="147">
        <f t="shared" si="60"/>
        <v>24.213006381407215</v>
      </c>
      <c r="BQ17" s="463">
        <f t="shared" si="44"/>
        <v>9.3825312000000004E-3</v>
      </c>
      <c r="BR17" s="463"/>
      <c r="BT17" s="147">
        <f t="shared" si="61"/>
        <v>9.3825312000000007</v>
      </c>
      <c r="BU17" s="463">
        <f t="shared" si="45"/>
        <v>9.7535999999999999E-4</v>
      </c>
      <c r="BV17" s="463">
        <f t="shared" si="46"/>
        <v>4.9995167999999993E-3</v>
      </c>
      <c r="BW17" s="463">
        <f t="shared" si="47"/>
        <v>0</v>
      </c>
      <c r="BX17" s="463">
        <f t="shared" si="48"/>
        <v>6.6950621897401627E-3</v>
      </c>
      <c r="BY17" s="463">
        <f t="shared" si="49"/>
        <v>4.8767999999999997E-3</v>
      </c>
      <c r="BZ17" s="147">
        <f t="shared" si="62"/>
        <v>11.571862189740163</v>
      </c>
      <c r="CA17" s="153">
        <f t="shared" si="63"/>
        <v>4.5167399771147379E-2</v>
      </c>
      <c r="CB17" s="5">
        <f t="shared" si="64"/>
        <v>0.24</v>
      </c>
      <c r="CC17" s="153">
        <f t="shared" si="65"/>
        <v>0.84161092815169225</v>
      </c>
      <c r="CD17" s="5">
        <f t="shared" si="66"/>
        <v>84.161092815169226</v>
      </c>
      <c r="CG17" s="59">
        <f t="shared" si="50"/>
        <v>-50</v>
      </c>
      <c r="CH17">
        <f t="shared" si="51"/>
        <v>-50</v>
      </c>
    </row>
    <row r="18" spans="5:86" x14ac:dyDescent="0.25">
      <c r="E18" s="150">
        <v>13</v>
      </c>
      <c r="F18" s="191">
        <f t="shared" si="52"/>
        <v>1.3000000000000001E-2</v>
      </c>
      <c r="G18" s="191"/>
      <c r="H18" s="191">
        <f t="shared" si="0"/>
        <v>0.26</v>
      </c>
      <c r="I18" s="472">
        <f t="shared" si="1"/>
        <v>20</v>
      </c>
      <c r="J18" s="152">
        <f t="shared" si="2"/>
        <v>20.32</v>
      </c>
      <c r="K18" s="386">
        <f t="shared" si="3"/>
        <v>40.32</v>
      </c>
      <c r="L18" s="386"/>
      <c r="M18" s="191">
        <f t="shared" si="4"/>
        <v>0.50396825396825395</v>
      </c>
      <c r="N18" s="152">
        <f t="shared" si="5"/>
        <v>3.4017857142857144</v>
      </c>
      <c r="O18" s="152">
        <f t="shared" si="53"/>
        <v>0.26</v>
      </c>
      <c r="P18" s="191">
        <f t="shared" si="6"/>
        <v>0.17008928571428572</v>
      </c>
      <c r="Q18" s="191">
        <f t="shared" si="7"/>
        <v>20</v>
      </c>
      <c r="R18" s="191">
        <f t="shared" si="8"/>
        <v>0.18898809523809523</v>
      </c>
      <c r="S18" s="152">
        <f t="shared" si="9"/>
        <v>499.24358041287076</v>
      </c>
      <c r="T18" s="152">
        <f t="shared" si="10"/>
        <v>20</v>
      </c>
      <c r="U18" s="191">
        <f t="shared" si="11"/>
        <v>5.7322834645669292E-2</v>
      </c>
      <c r="V18" s="191">
        <f t="shared" si="12"/>
        <v>0.42992125984251967</v>
      </c>
      <c r="W18" s="191">
        <f t="shared" si="13"/>
        <v>0.42315084630169258</v>
      </c>
      <c r="X18" s="175">
        <f t="shared" si="14"/>
        <v>350</v>
      </c>
      <c r="Y18" s="386">
        <f t="shared" si="54"/>
        <v>350</v>
      </c>
      <c r="AA18" s="191">
        <f t="shared" si="15"/>
        <v>0.19198790627362058</v>
      </c>
      <c r="AB18" s="153">
        <f t="shared" si="16"/>
        <v>1.4172335600907029</v>
      </c>
      <c r="AC18" s="153">
        <f t="shared" si="17"/>
        <v>4.7616048182941621E-2</v>
      </c>
      <c r="AD18" s="153"/>
      <c r="AE18" s="153">
        <f t="shared" si="18"/>
        <v>1.1072834645669289</v>
      </c>
      <c r="AF18" s="317">
        <f t="shared" si="19"/>
        <v>156.53925925925927</v>
      </c>
      <c r="AG18" s="463">
        <f t="shared" si="20"/>
        <v>2.9066190944881887E-2</v>
      </c>
      <c r="AI18" s="153">
        <f t="shared" si="21"/>
        <v>0.10574202410288761</v>
      </c>
      <c r="AJ18" s="153">
        <f t="shared" si="22"/>
        <v>0.15</v>
      </c>
      <c r="AK18" s="153">
        <f t="shared" si="23"/>
        <v>1.0894510052910054</v>
      </c>
      <c r="AM18" s="317">
        <f t="shared" si="24"/>
        <v>13.000000000000002</v>
      </c>
      <c r="AN18" s="147">
        <f t="shared" si="25"/>
        <v>156.53925925925927</v>
      </c>
      <c r="AP18">
        <f t="shared" si="26"/>
        <v>13.000000000000002</v>
      </c>
      <c r="AQ18" s="147">
        <f t="shared" si="27"/>
        <v>156.53925925925927</v>
      </c>
      <c r="AR18" s="147"/>
      <c r="AS18" s="5">
        <f t="shared" si="55"/>
        <v>6.3881738340399759</v>
      </c>
      <c r="AT18" s="5">
        <f t="shared" si="28"/>
        <v>1.1249999999999998</v>
      </c>
      <c r="AU18" s="5">
        <f t="shared" si="56"/>
        <v>5.2631738340399759</v>
      </c>
      <c r="AV18" s="5">
        <f t="shared" si="29"/>
        <v>1.1072834645669289</v>
      </c>
      <c r="AW18" s="153">
        <f t="shared" si="57"/>
        <v>0.17610666666666663</v>
      </c>
      <c r="AX18" s="153">
        <f t="shared" si="30"/>
        <v>0.26416000000000001</v>
      </c>
      <c r="AY18" s="153">
        <f t="shared" si="31"/>
        <v>6.1792E-2</v>
      </c>
      <c r="AZ18" s="153">
        <f t="shared" si="58"/>
        <v>4.2749870533402383</v>
      </c>
      <c r="BA18" s="147">
        <f t="shared" si="32"/>
        <v>5.9640482169430262</v>
      </c>
      <c r="BB18" s="147">
        <f t="shared" si="33"/>
        <v>0.33030394800000007</v>
      </c>
      <c r="BC18" s="5">
        <f t="shared" si="34"/>
        <v>7.6023622047244097E-2</v>
      </c>
      <c r="BD18" s="147">
        <f t="shared" si="35"/>
        <v>7.6456955380577432</v>
      </c>
      <c r="BE18" s="5"/>
      <c r="BF18" s="153">
        <f t="shared" si="59"/>
        <v>3.6342812219199543E-2</v>
      </c>
      <c r="BG18" s="153">
        <f t="shared" si="36"/>
        <v>7.8607887644943114E-2</v>
      </c>
      <c r="BH18" s="153"/>
      <c r="BI18" s="463">
        <f t="shared" si="37"/>
        <v>4.6227999999999981E-4</v>
      </c>
      <c r="BJ18" s="463">
        <f t="shared" si="38"/>
        <v>4.7337472E-3</v>
      </c>
      <c r="BK18" s="463">
        <f t="shared" si="39"/>
        <v>1.9567407407407407E-3</v>
      </c>
      <c r="BL18" s="463">
        <f t="shared" si="40"/>
        <v>1.2724312473600003E-2</v>
      </c>
      <c r="BM18">
        <f t="shared" si="41"/>
        <v>5.7999999999999996E-3</v>
      </c>
      <c r="BN18">
        <f t="shared" si="42"/>
        <v>5.8702222222222221E-6</v>
      </c>
      <c r="BO18" s="463">
        <f t="shared" si="43"/>
        <v>2.5747554462476455E-2</v>
      </c>
      <c r="BP18" s="147">
        <f t="shared" si="60"/>
        <v>25.747554462476455</v>
      </c>
      <c r="BQ18" s="463">
        <f t="shared" si="44"/>
        <v>9.6869087999999996E-3</v>
      </c>
      <c r="BR18" s="463"/>
      <c r="BT18" s="147">
        <f t="shared" si="61"/>
        <v>9.6869087999999994</v>
      </c>
      <c r="BU18" s="463">
        <f t="shared" si="45"/>
        <v>1.0566399999999997E-3</v>
      </c>
      <c r="BV18" s="463">
        <f t="shared" si="46"/>
        <v>4.9186432000000004E-3</v>
      </c>
      <c r="BW18" s="463">
        <f t="shared" si="47"/>
        <v>0</v>
      </c>
      <c r="BX18" s="463">
        <f t="shared" si="48"/>
        <v>6.6955177931988024E-3</v>
      </c>
      <c r="BY18" s="463">
        <f t="shared" si="49"/>
        <v>5.2832000000000009E-3</v>
      </c>
      <c r="BZ18" s="147">
        <f t="shared" si="62"/>
        <v>11.978717793198804</v>
      </c>
      <c r="CA18" s="153">
        <f t="shared" si="63"/>
        <v>4.7413181055675262E-2</v>
      </c>
      <c r="CB18" s="5">
        <f t="shared" si="64"/>
        <v>0.26</v>
      </c>
      <c r="CC18" s="153">
        <f t="shared" si="65"/>
        <v>0.8457672475433371</v>
      </c>
      <c r="CD18" s="5">
        <f t="shared" si="66"/>
        <v>84.576724754333711</v>
      </c>
      <c r="CG18" s="59">
        <f t="shared" si="50"/>
        <v>-50</v>
      </c>
      <c r="CH18">
        <f t="shared" si="51"/>
        <v>-50</v>
      </c>
    </row>
    <row r="19" spans="5:86" x14ac:dyDescent="0.25">
      <c r="E19" s="150">
        <v>14</v>
      </c>
      <c r="F19" s="191">
        <f t="shared" si="52"/>
        <v>1.4000000000000002E-2</v>
      </c>
      <c r="G19" s="191"/>
      <c r="H19" s="191">
        <f t="shared" si="0"/>
        <v>0.28000000000000003</v>
      </c>
      <c r="I19" s="472">
        <f t="shared" si="1"/>
        <v>20</v>
      </c>
      <c r="J19" s="152">
        <f t="shared" si="2"/>
        <v>20.32</v>
      </c>
      <c r="K19" s="386">
        <f t="shared" si="3"/>
        <v>40.32</v>
      </c>
      <c r="L19" s="386"/>
      <c r="M19" s="191">
        <f t="shared" si="4"/>
        <v>0.50396825396825395</v>
      </c>
      <c r="N19" s="152">
        <f t="shared" si="5"/>
        <v>3.4017857142857144</v>
      </c>
      <c r="O19" s="152">
        <f t="shared" si="53"/>
        <v>0.28000000000000003</v>
      </c>
      <c r="P19" s="191">
        <f t="shared" si="6"/>
        <v>0.17008928571428572</v>
      </c>
      <c r="Q19" s="191">
        <f t="shared" si="7"/>
        <v>20</v>
      </c>
      <c r="R19" s="191">
        <f t="shared" si="8"/>
        <v>0.18898809523809523</v>
      </c>
      <c r="S19" s="152">
        <f t="shared" si="9"/>
        <v>462.15669567798722</v>
      </c>
      <c r="T19" s="152">
        <f t="shared" si="10"/>
        <v>20</v>
      </c>
      <c r="U19" s="191">
        <f t="shared" si="11"/>
        <v>6.1732283464566939E-2</v>
      </c>
      <c r="V19" s="191">
        <f t="shared" si="12"/>
        <v>0.46299212598425205</v>
      </c>
      <c r="W19" s="191">
        <f t="shared" si="13"/>
        <v>0.45570091140182284</v>
      </c>
      <c r="X19" s="175">
        <f t="shared" si="14"/>
        <v>350</v>
      </c>
      <c r="Y19" s="386">
        <f t="shared" si="54"/>
        <v>350</v>
      </c>
      <c r="AA19" s="191">
        <f t="shared" si="15"/>
        <v>0.19198790627362058</v>
      </c>
      <c r="AB19" s="153">
        <f t="shared" si="16"/>
        <v>1.4172335600907029</v>
      </c>
      <c r="AC19" s="153">
        <f t="shared" si="17"/>
        <v>4.7616048182941621E-2</v>
      </c>
      <c r="AD19" s="153"/>
      <c r="AE19" s="153">
        <f t="shared" si="18"/>
        <v>1.1072834645669289</v>
      </c>
      <c r="AF19" s="317">
        <f t="shared" si="19"/>
        <v>168.58074074074079</v>
      </c>
      <c r="AG19" s="463">
        <f t="shared" si="20"/>
        <v>2.9066190944881887E-2</v>
      </c>
      <c r="AI19" s="153">
        <f t="shared" si="21"/>
        <v>0.10973368435207799</v>
      </c>
      <c r="AJ19" s="153">
        <f t="shared" si="22"/>
        <v>0.15</v>
      </c>
      <c r="AK19" s="153">
        <f t="shared" si="23"/>
        <v>1.0963318518518519</v>
      </c>
      <c r="AM19" s="317">
        <f t="shared" si="24"/>
        <v>14.000000000000002</v>
      </c>
      <c r="AN19" s="147">
        <f t="shared" si="25"/>
        <v>168.58074074074079</v>
      </c>
      <c r="AP19">
        <f t="shared" si="26"/>
        <v>14.000000000000002</v>
      </c>
      <c r="AQ19" s="147">
        <f t="shared" si="27"/>
        <v>168.58074074074079</v>
      </c>
      <c r="AR19" s="147"/>
      <c r="AS19" s="5">
        <f t="shared" si="55"/>
        <v>5.931875703037119</v>
      </c>
      <c r="AT19" s="5">
        <f t="shared" si="28"/>
        <v>1.1249999999999998</v>
      </c>
      <c r="AU19" s="5">
        <f t="shared" si="56"/>
        <v>4.806875703037119</v>
      </c>
      <c r="AV19" s="5">
        <f t="shared" si="29"/>
        <v>1.1072834645669289</v>
      </c>
      <c r="AW19" s="153">
        <f t="shared" si="57"/>
        <v>0.18965333333333334</v>
      </c>
      <c r="AX19" s="153">
        <f t="shared" si="30"/>
        <v>0.28448000000000007</v>
      </c>
      <c r="AY19" s="153">
        <f t="shared" si="31"/>
        <v>6.0775999999999997E-2</v>
      </c>
      <c r="AZ19" s="153">
        <f t="shared" si="58"/>
        <v>4.6807950506779008</v>
      </c>
      <c r="BA19" s="147">
        <f t="shared" si="32"/>
        <v>5.9640482169430262</v>
      </c>
      <c r="BB19" s="147">
        <f t="shared" si="33"/>
        <v>0.37984363200000004</v>
      </c>
      <c r="BC19" s="5">
        <f t="shared" si="34"/>
        <v>7.4773622047244068E-2</v>
      </c>
      <c r="BD19" s="147">
        <f t="shared" si="35"/>
        <v>7.5240288713910752</v>
      </c>
      <c r="BE19" s="5"/>
      <c r="BF19" s="153">
        <f t="shared" si="59"/>
        <v>3.771471861223414E-2</v>
      </c>
      <c r="BG19" s="153">
        <f t="shared" si="36"/>
        <v>7.7958963564172659E-2</v>
      </c>
      <c r="BH19" s="153"/>
      <c r="BI19" s="463">
        <f t="shared" si="37"/>
        <v>4.9784000000000004E-4</v>
      </c>
      <c r="BJ19" s="463">
        <f t="shared" si="38"/>
        <v>5.0978816000000014E-3</v>
      </c>
      <c r="BK19" s="463">
        <f t="shared" si="39"/>
        <v>2.1072592592592597E-3</v>
      </c>
      <c r="BL19" s="463">
        <f t="shared" si="40"/>
        <v>1.3703105740800008E-2</v>
      </c>
      <c r="BM19">
        <f t="shared" si="41"/>
        <v>5.7999999999999996E-3</v>
      </c>
      <c r="BN19">
        <f t="shared" si="42"/>
        <v>6.3217777777777799E-6</v>
      </c>
      <c r="BO19" s="463">
        <f t="shared" si="43"/>
        <v>2.7282122681182856E-2</v>
      </c>
      <c r="BP19" s="147">
        <f t="shared" si="60"/>
        <v>27.282122681182855</v>
      </c>
      <c r="BQ19" s="463">
        <f t="shared" si="44"/>
        <v>9.9912864000000021E-3</v>
      </c>
      <c r="BR19" s="463"/>
      <c r="BT19" s="147">
        <f t="shared" si="61"/>
        <v>9.9912864000000017</v>
      </c>
      <c r="BU19" s="463">
        <f t="shared" si="45"/>
        <v>1.1379200000000004E-3</v>
      </c>
      <c r="BV19" s="463">
        <f t="shared" si="46"/>
        <v>4.8377695999999998E-3</v>
      </c>
      <c r="BW19" s="463">
        <f t="shared" si="47"/>
        <v>0</v>
      </c>
      <c r="BX19" s="463">
        <f t="shared" si="48"/>
        <v>6.6959733966870782E-3</v>
      </c>
      <c r="BY19" s="463">
        <f t="shared" si="49"/>
        <v>5.6896000000000021E-3</v>
      </c>
      <c r="BZ19" s="147">
        <f t="shared" si="62"/>
        <v>12.385573396687079</v>
      </c>
      <c r="CA19" s="153">
        <f t="shared" si="63"/>
        <v>4.9658982477869942E-2</v>
      </c>
      <c r="CB19" s="5">
        <f t="shared" si="64"/>
        <v>0.28000000000000003</v>
      </c>
      <c r="CC19" s="153">
        <f t="shared" si="65"/>
        <v>0.84936256823760736</v>
      </c>
      <c r="CD19" s="5">
        <f t="shared" si="66"/>
        <v>84.936256823760743</v>
      </c>
      <c r="CG19" s="59">
        <f t="shared" si="50"/>
        <v>-50</v>
      </c>
      <c r="CH19">
        <f t="shared" si="51"/>
        <v>-50</v>
      </c>
    </row>
    <row r="20" spans="5:86" x14ac:dyDescent="0.25">
      <c r="E20" s="150">
        <v>15</v>
      </c>
      <c r="F20" s="191">
        <f t="shared" si="52"/>
        <v>1.4999999999999999E-2</v>
      </c>
      <c r="G20" s="191"/>
      <c r="H20" s="191">
        <f t="shared" si="0"/>
        <v>0.3</v>
      </c>
      <c r="I20" s="472">
        <f t="shared" si="1"/>
        <v>20</v>
      </c>
      <c r="J20" s="152">
        <f t="shared" si="2"/>
        <v>20.32</v>
      </c>
      <c r="K20" s="386">
        <f t="shared" si="3"/>
        <v>40.32</v>
      </c>
      <c r="L20" s="386"/>
      <c r="M20" s="191">
        <f t="shared" si="4"/>
        <v>0.50396825396825395</v>
      </c>
      <c r="N20" s="152">
        <f t="shared" si="5"/>
        <v>3.4017857142857144</v>
      </c>
      <c r="O20" s="152">
        <f t="shared" si="53"/>
        <v>0.3</v>
      </c>
      <c r="P20" s="191">
        <f t="shared" si="6"/>
        <v>0.17008928571428572</v>
      </c>
      <c r="Q20" s="191">
        <f t="shared" si="7"/>
        <v>20</v>
      </c>
      <c r="R20" s="191">
        <f t="shared" si="8"/>
        <v>0.18898809523809523</v>
      </c>
      <c r="S20" s="152">
        <f t="shared" si="9"/>
        <v>430.01487213891869</v>
      </c>
      <c r="T20" s="152">
        <f t="shared" si="10"/>
        <v>20</v>
      </c>
      <c r="U20" s="191">
        <f t="shared" si="11"/>
        <v>6.6141732283464566E-2</v>
      </c>
      <c r="V20" s="191">
        <f t="shared" si="12"/>
        <v>0.4960629921259842</v>
      </c>
      <c r="W20" s="191">
        <f t="shared" si="13"/>
        <v>0.48825097650195287</v>
      </c>
      <c r="X20" s="175">
        <f t="shared" si="14"/>
        <v>350</v>
      </c>
      <c r="Y20" s="386">
        <f t="shared" si="54"/>
        <v>350</v>
      </c>
      <c r="AA20" s="191">
        <f t="shared" si="15"/>
        <v>0.19198790627362058</v>
      </c>
      <c r="AB20" s="153">
        <f t="shared" si="16"/>
        <v>1.4172335600907029</v>
      </c>
      <c r="AC20" s="153">
        <f t="shared" si="17"/>
        <v>4.7616048182941621E-2</v>
      </c>
      <c r="AD20" s="153"/>
      <c r="AE20" s="153">
        <f t="shared" si="18"/>
        <v>1.1072834645669289</v>
      </c>
      <c r="AF20" s="317">
        <f t="shared" si="19"/>
        <v>180.62222222222221</v>
      </c>
      <c r="AG20" s="463">
        <f t="shared" si="20"/>
        <v>2.9066190944881887E-2</v>
      </c>
      <c r="AI20" s="153">
        <f t="shared" si="21"/>
        <v>0.11358515440667105</v>
      </c>
      <c r="AJ20" s="153">
        <f t="shared" si="22"/>
        <v>0.15</v>
      </c>
      <c r="AK20" s="153">
        <f t="shared" si="23"/>
        <v>1.1032126984126984</v>
      </c>
      <c r="AM20" s="317">
        <f t="shared" si="24"/>
        <v>15</v>
      </c>
      <c r="AN20" s="147">
        <f t="shared" si="25"/>
        <v>180.62222222222221</v>
      </c>
      <c r="AP20">
        <f t="shared" si="26"/>
        <v>15</v>
      </c>
      <c r="AQ20" s="147">
        <f t="shared" si="27"/>
        <v>180.62222222222221</v>
      </c>
      <c r="AR20" s="147"/>
      <c r="AS20" s="5">
        <f t="shared" si="55"/>
        <v>5.5364173228346463</v>
      </c>
      <c r="AT20" s="5">
        <f t="shared" si="28"/>
        <v>1.1249999999999998</v>
      </c>
      <c r="AU20" s="5">
        <f t="shared" si="56"/>
        <v>4.4114173228346463</v>
      </c>
      <c r="AV20" s="5">
        <f t="shared" si="29"/>
        <v>1.1072834645669289</v>
      </c>
      <c r="AW20" s="153">
        <f t="shared" si="57"/>
        <v>0.20319999999999994</v>
      </c>
      <c r="AX20" s="153">
        <f t="shared" si="30"/>
        <v>0.3047999999999999</v>
      </c>
      <c r="AY20" s="153">
        <f t="shared" si="31"/>
        <v>5.9760000000000001E-2</v>
      </c>
      <c r="AZ20" s="153">
        <f t="shared" si="58"/>
        <v>5.1004016064257014</v>
      </c>
      <c r="BA20" s="147">
        <f t="shared" si="32"/>
        <v>5.9640482169430262</v>
      </c>
      <c r="BB20" s="147">
        <f t="shared" si="33"/>
        <v>0.43283069999999985</v>
      </c>
      <c r="BC20" s="5">
        <f t="shared" si="34"/>
        <v>7.3523622047244108E-2</v>
      </c>
      <c r="BD20" s="147">
        <f t="shared" si="35"/>
        <v>7.40236220472441</v>
      </c>
      <c r="BE20" s="5"/>
      <c r="BF20" s="153">
        <f t="shared" si="59"/>
        <v>3.9038442591886262E-2</v>
      </c>
      <c r="BG20" s="153">
        <f t="shared" si="36"/>
        <v>7.7304592360350755E-2</v>
      </c>
      <c r="BH20" s="153"/>
      <c r="BI20" s="463">
        <f t="shared" si="37"/>
        <v>5.3339999999999974E-4</v>
      </c>
      <c r="BJ20" s="463">
        <f t="shared" si="38"/>
        <v>5.4620160000000001E-3</v>
      </c>
      <c r="BK20" s="463">
        <f t="shared" si="39"/>
        <v>2.2577777777777774E-3</v>
      </c>
      <c r="BL20" s="463">
        <f t="shared" si="40"/>
        <v>1.4681899008E-2</v>
      </c>
      <c r="BM20">
        <f t="shared" si="41"/>
        <v>5.7999999999999996E-3</v>
      </c>
      <c r="BN20">
        <f t="shared" si="42"/>
        <v>6.7733333333333326E-6</v>
      </c>
      <c r="BO20" s="463">
        <f t="shared" si="43"/>
        <v>2.8816711037922788E-2</v>
      </c>
      <c r="BP20" s="147">
        <f t="shared" si="60"/>
        <v>28.81671103792279</v>
      </c>
      <c r="BQ20" s="463">
        <f t="shared" si="44"/>
        <v>1.0295664E-2</v>
      </c>
      <c r="BR20" s="463"/>
      <c r="BT20" s="147">
        <f t="shared" si="61"/>
        <v>10.295664</v>
      </c>
      <c r="BU20" s="463">
        <f t="shared" si="45"/>
        <v>1.2191999999999995E-3</v>
      </c>
      <c r="BV20" s="463">
        <f t="shared" si="46"/>
        <v>4.7568960000000009E-3</v>
      </c>
      <c r="BW20" s="463">
        <f t="shared" si="47"/>
        <v>0</v>
      </c>
      <c r="BX20" s="463">
        <f t="shared" si="48"/>
        <v>6.6964290002049934E-3</v>
      </c>
      <c r="BY20" s="463">
        <f t="shared" si="49"/>
        <v>6.0959999999999999E-3</v>
      </c>
      <c r="BZ20" s="147">
        <f t="shared" si="62"/>
        <v>12.792429000204994</v>
      </c>
      <c r="CA20" s="153">
        <f t="shared" si="63"/>
        <v>5.1904804038127778E-2</v>
      </c>
      <c r="CB20" s="5">
        <f t="shared" si="64"/>
        <v>0.3</v>
      </c>
      <c r="CC20" s="153">
        <f t="shared" si="65"/>
        <v>0.8525032808801779</v>
      </c>
      <c r="CD20" s="5">
        <f t="shared" si="66"/>
        <v>85.250328088017795</v>
      </c>
      <c r="CG20" s="59">
        <f t="shared" si="50"/>
        <v>-50</v>
      </c>
      <c r="CH20">
        <f t="shared" si="51"/>
        <v>-50</v>
      </c>
    </row>
    <row r="21" spans="5:86" s="59" customFormat="1" x14ac:dyDescent="0.25">
      <c r="E21" s="150">
        <v>16</v>
      </c>
      <c r="F21" s="191">
        <f t="shared" si="52"/>
        <v>1.6E-2</v>
      </c>
      <c r="G21" s="191"/>
      <c r="H21" s="191">
        <f t="shared" si="0"/>
        <v>0.32</v>
      </c>
      <c r="I21" s="472">
        <f t="shared" si="1"/>
        <v>20</v>
      </c>
      <c r="J21" s="152">
        <f t="shared" si="2"/>
        <v>20.32</v>
      </c>
      <c r="K21" s="386">
        <f t="shared" si="3"/>
        <v>40.32</v>
      </c>
      <c r="L21" s="386"/>
      <c r="M21" s="191">
        <f t="shared" si="4"/>
        <v>0.50396825396825395</v>
      </c>
      <c r="N21" s="152">
        <f t="shared" si="5"/>
        <v>3.4017857142857144</v>
      </c>
      <c r="O21" s="152">
        <f t="shared" si="53"/>
        <v>0.32</v>
      </c>
      <c r="P21" s="191">
        <f t="shared" si="6"/>
        <v>0.17008928571428572</v>
      </c>
      <c r="Q21" s="191">
        <f t="shared" si="7"/>
        <v>20</v>
      </c>
      <c r="R21" s="191">
        <f t="shared" si="8"/>
        <v>0.18898809523809523</v>
      </c>
      <c r="S21" s="152">
        <f t="shared" si="9"/>
        <v>401.89091204964427</v>
      </c>
      <c r="T21" s="152">
        <f t="shared" si="10"/>
        <v>20</v>
      </c>
      <c r="U21" s="191">
        <f t="shared" si="11"/>
        <v>7.0551181102362207E-2</v>
      </c>
      <c r="V21" s="191">
        <f t="shared" si="12"/>
        <v>0.52913385826771642</v>
      </c>
      <c r="W21" s="191">
        <f t="shared" si="13"/>
        <v>0.52080104160208307</v>
      </c>
      <c r="X21" s="175">
        <f t="shared" si="14"/>
        <v>350</v>
      </c>
      <c r="Y21" s="386">
        <f t="shared" si="54"/>
        <v>350</v>
      </c>
      <c r="AA21" s="191">
        <f t="shared" si="15"/>
        <v>0.19198790627362058</v>
      </c>
      <c r="AB21" s="153">
        <f t="shared" si="16"/>
        <v>1.4172335600907029</v>
      </c>
      <c r="AC21" s="469">
        <f t="shared" si="17"/>
        <v>4.7616048182941621E-2</v>
      </c>
      <c r="AD21" s="469"/>
      <c r="AE21" s="153">
        <f t="shared" si="18"/>
        <v>1.1072834645669289</v>
      </c>
      <c r="AF21" s="317">
        <f t="shared" si="19"/>
        <v>192.6637037037037</v>
      </c>
      <c r="AG21" s="463">
        <f t="shared" si="20"/>
        <v>2.9066190944881887E-2</v>
      </c>
      <c r="AH21"/>
      <c r="AI21" s="153">
        <f t="shared" si="21"/>
        <v>0.11731024303824933</v>
      </c>
      <c r="AJ21" s="153">
        <f t="shared" si="22"/>
        <v>0.15</v>
      </c>
      <c r="AK21" s="153">
        <f t="shared" si="23"/>
        <v>1.110093544973545</v>
      </c>
      <c r="AM21" s="317">
        <f t="shared" si="24"/>
        <v>16</v>
      </c>
      <c r="AN21" s="147">
        <f t="shared" si="25"/>
        <v>192.6637037037037</v>
      </c>
      <c r="AP21">
        <f t="shared" si="26"/>
        <v>16</v>
      </c>
      <c r="AQ21" s="147">
        <f t="shared" si="27"/>
        <v>192.6637037037037</v>
      </c>
      <c r="AR21" s="147"/>
      <c r="AS21" s="5">
        <f t="shared" si="55"/>
        <v>5.1903912401574805</v>
      </c>
      <c r="AT21" s="5">
        <f t="shared" si="28"/>
        <v>1.1249999999999998</v>
      </c>
      <c r="AU21" s="5">
        <f t="shared" si="56"/>
        <v>4.0653912401574805</v>
      </c>
      <c r="AV21" s="5">
        <f t="shared" si="29"/>
        <v>1.1072834645669289</v>
      </c>
      <c r="AW21" s="153">
        <f t="shared" si="57"/>
        <v>0.21674666666666662</v>
      </c>
      <c r="AX21" s="153">
        <f t="shared" si="30"/>
        <v>0.32511999999999991</v>
      </c>
      <c r="AY21" s="153">
        <f t="shared" si="31"/>
        <v>5.8743999999999998E-2</v>
      </c>
      <c r="AZ21" s="153">
        <f t="shared" si="58"/>
        <v>5.5345226746561336</v>
      </c>
      <c r="BA21" s="147">
        <f t="shared" si="32"/>
        <v>5.9640482169430262</v>
      </c>
      <c r="BB21" s="147">
        <f t="shared" si="33"/>
        <v>0.48926515199999981</v>
      </c>
      <c r="BC21" s="5">
        <f t="shared" si="34"/>
        <v>7.2273622047244093E-2</v>
      </c>
      <c r="BD21" s="147">
        <f t="shared" si="35"/>
        <v>7.2806955380577429</v>
      </c>
      <c r="BE21" s="5"/>
      <c r="BF21" s="153">
        <f t="shared" si="59"/>
        <v>4.0318730138733279E-2</v>
      </c>
      <c r="BG21" s="153">
        <f t="shared" si="36"/>
        <v>7.664463451540493E-2</v>
      </c>
      <c r="BH21" s="153"/>
      <c r="BI21" s="463">
        <f t="shared" si="37"/>
        <v>5.6895999999999965E-4</v>
      </c>
      <c r="BJ21" s="463">
        <f t="shared" si="38"/>
        <v>5.8261504000000006E-3</v>
      </c>
      <c r="BK21" s="463">
        <f t="shared" si="39"/>
        <v>2.4082962962962964E-3</v>
      </c>
      <c r="BL21" s="463">
        <f t="shared" si="40"/>
        <v>1.5660692275200006E-2</v>
      </c>
      <c r="BM21">
        <f t="shared" si="41"/>
        <v>5.7999999999999996E-3</v>
      </c>
      <c r="BN21">
        <f t="shared" si="42"/>
        <v>7.2248888888888886E-6</v>
      </c>
      <c r="BO21" s="463">
        <f t="shared" si="43"/>
        <v>3.0351319533092697E-2</v>
      </c>
      <c r="BP21" s="147">
        <f t="shared" si="60"/>
        <v>30.351319533092695</v>
      </c>
      <c r="BQ21" s="463">
        <f t="shared" si="44"/>
        <v>1.06000416E-2</v>
      </c>
      <c r="BR21" s="463"/>
      <c r="BT21" s="147">
        <f t="shared" si="61"/>
        <v>10.600041600000001</v>
      </c>
      <c r="BU21" s="463">
        <f t="shared" si="45"/>
        <v>1.3004799999999995E-3</v>
      </c>
      <c r="BV21" s="463">
        <f t="shared" si="46"/>
        <v>4.6760224000000012E-3</v>
      </c>
      <c r="BW21" s="463">
        <f t="shared" si="47"/>
        <v>0</v>
      </c>
      <c r="BX21" s="463">
        <f t="shared" si="48"/>
        <v>6.6968846037525499E-3</v>
      </c>
      <c r="BY21" s="463">
        <f t="shared" si="49"/>
        <v>6.5024000000000002E-3</v>
      </c>
      <c r="BZ21" s="147">
        <f t="shared" si="62"/>
        <v>13.199284603752551</v>
      </c>
      <c r="CA21" s="153">
        <f t="shared" si="63"/>
        <v>5.4150645736845242E-2</v>
      </c>
      <c r="CB21" s="5">
        <f t="shared" si="64"/>
        <v>0.32</v>
      </c>
      <c r="CC21" s="153">
        <f t="shared" si="65"/>
        <v>0.85527047366121212</v>
      </c>
      <c r="CD21" s="5">
        <f t="shared" si="66"/>
        <v>85.527047366121209</v>
      </c>
      <c r="CG21" s="59">
        <f t="shared" si="50"/>
        <v>-50</v>
      </c>
      <c r="CH21">
        <f t="shared" si="51"/>
        <v>-50</v>
      </c>
    </row>
    <row r="22" spans="5:86" x14ac:dyDescent="0.25">
      <c r="E22" s="150">
        <v>17</v>
      </c>
      <c r="F22" s="191">
        <f t="shared" si="52"/>
        <v>1.7000000000000001E-2</v>
      </c>
      <c r="G22" s="191"/>
      <c r="H22" s="191">
        <f t="shared" si="0"/>
        <v>0.34</v>
      </c>
      <c r="I22" s="472">
        <f t="shared" si="1"/>
        <v>20</v>
      </c>
      <c r="J22" s="152">
        <f t="shared" si="2"/>
        <v>20.32</v>
      </c>
      <c r="K22" s="386">
        <f t="shared" si="3"/>
        <v>40.32</v>
      </c>
      <c r="L22" s="386"/>
      <c r="M22" s="191">
        <f t="shared" si="4"/>
        <v>0.50396825396825395</v>
      </c>
      <c r="N22" s="152">
        <f t="shared" si="5"/>
        <v>3.4017857142857144</v>
      </c>
      <c r="O22" s="152">
        <f t="shared" si="53"/>
        <v>0.34</v>
      </c>
      <c r="P22" s="191">
        <f t="shared" si="6"/>
        <v>0.17008928571428572</v>
      </c>
      <c r="Q22" s="191">
        <f t="shared" si="7"/>
        <v>20</v>
      </c>
      <c r="R22" s="191">
        <f t="shared" si="8"/>
        <v>0.18898809523809523</v>
      </c>
      <c r="S22" s="152">
        <f t="shared" si="9"/>
        <v>377.07578185355771</v>
      </c>
      <c r="T22" s="152">
        <f t="shared" si="10"/>
        <v>20</v>
      </c>
      <c r="U22" s="191">
        <f t="shared" si="11"/>
        <v>7.4960629921259847E-2</v>
      </c>
      <c r="V22" s="191">
        <f t="shared" si="12"/>
        <v>0.5622047244094488</v>
      </c>
      <c r="W22" s="191">
        <f t="shared" si="13"/>
        <v>0.55335110670221332</v>
      </c>
      <c r="X22" s="175">
        <f t="shared" si="14"/>
        <v>350</v>
      </c>
      <c r="Y22" s="386">
        <f t="shared" si="54"/>
        <v>350</v>
      </c>
      <c r="AA22" s="191">
        <f t="shared" si="15"/>
        <v>0.19198790627362058</v>
      </c>
      <c r="AB22" s="153">
        <f t="shared" si="16"/>
        <v>1.4172335600907029</v>
      </c>
      <c r="AC22" s="153">
        <f t="shared" si="17"/>
        <v>4.7616048182941621E-2</v>
      </c>
      <c r="AD22" s="153"/>
      <c r="AE22" s="153">
        <f t="shared" si="18"/>
        <v>1.1072834645669289</v>
      </c>
      <c r="AF22" s="317">
        <f t="shared" si="19"/>
        <v>204.70518518518523</v>
      </c>
      <c r="AG22" s="463">
        <f t="shared" si="20"/>
        <v>2.9066190944881887E-2</v>
      </c>
      <c r="AI22" s="153">
        <f t="shared" si="21"/>
        <v>0.12092063075339519</v>
      </c>
      <c r="AJ22" s="153">
        <f t="shared" si="22"/>
        <v>0.15</v>
      </c>
      <c r="AK22" s="153">
        <f t="shared" si="23"/>
        <v>1.1169743915343915</v>
      </c>
      <c r="AM22" s="317">
        <f t="shared" si="24"/>
        <v>17</v>
      </c>
      <c r="AN22" s="147">
        <f t="shared" si="25"/>
        <v>204.70518518518523</v>
      </c>
      <c r="AP22">
        <f t="shared" si="26"/>
        <v>17</v>
      </c>
      <c r="AQ22" s="147">
        <f t="shared" si="27"/>
        <v>204.70518518518523</v>
      </c>
      <c r="AR22" s="147"/>
      <c r="AS22" s="5">
        <f t="shared" si="55"/>
        <v>4.8850741083835105</v>
      </c>
      <c r="AT22" s="5">
        <f t="shared" si="28"/>
        <v>1.1249999999999998</v>
      </c>
      <c r="AU22" s="5">
        <f t="shared" si="56"/>
        <v>3.7600741083835105</v>
      </c>
      <c r="AV22" s="5">
        <f t="shared" si="29"/>
        <v>1.1072834645669289</v>
      </c>
      <c r="AW22" s="153">
        <f t="shared" si="57"/>
        <v>0.23029333333333329</v>
      </c>
      <c r="AX22" s="153">
        <f t="shared" si="30"/>
        <v>0.34544000000000002</v>
      </c>
      <c r="AY22" s="153">
        <f t="shared" si="31"/>
        <v>5.7728000000000002E-2</v>
      </c>
      <c r="AZ22" s="153">
        <f t="shared" si="58"/>
        <v>5.9839246119733929</v>
      </c>
      <c r="BA22" s="147">
        <f t="shared" si="32"/>
        <v>5.9640482169430262</v>
      </c>
      <c r="BB22" s="147">
        <f t="shared" si="33"/>
        <v>0.54914698799999995</v>
      </c>
      <c r="BC22" s="5">
        <f t="shared" si="34"/>
        <v>7.1023622047244092E-2</v>
      </c>
      <c r="BD22" s="147">
        <f t="shared" si="35"/>
        <v>7.1590288713910759</v>
      </c>
      <c r="BE22" s="5"/>
      <c r="BF22" s="153">
        <f t="shared" si="59"/>
        <v>4.1559595763192882E-2</v>
      </c>
      <c r="BG22" s="153">
        <f t="shared" si="36"/>
        <v>7.59789444517361E-2</v>
      </c>
      <c r="BH22" s="153"/>
      <c r="BI22" s="463">
        <f t="shared" si="37"/>
        <v>6.0451999999999988E-4</v>
      </c>
      <c r="BJ22" s="463">
        <f t="shared" si="38"/>
        <v>6.1902848000000019E-3</v>
      </c>
      <c r="BK22" s="463">
        <f t="shared" si="39"/>
        <v>2.5588148148148154E-3</v>
      </c>
      <c r="BL22" s="463">
        <f t="shared" si="40"/>
        <v>1.6639485542400006E-2</v>
      </c>
      <c r="BM22">
        <f t="shared" si="41"/>
        <v>5.7999999999999996E-3</v>
      </c>
      <c r="BN22">
        <f t="shared" si="42"/>
        <v>7.6764444444444456E-6</v>
      </c>
      <c r="BO22" s="463">
        <f t="shared" si="43"/>
        <v>3.1885948167088979E-2</v>
      </c>
      <c r="BP22" s="147">
        <f t="shared" si="60"/>
        <v>31.88594816708898</v>
      </c>
      <c r="BQ22" s="463">
        <f t="shared" si="44"/>
        <v>1.0904419200000001E-2</v>
      </c>
      <c r="BR22" s="463"/>
      <c r="BT22" s="147">
        <f t="shared" si="61"/>
        <v>10.904419200000001</v>
      </c>
      <c r="BU22" s="463">
        <f t="shared" si="45"/>
        <v>1.3817599999999999E-3</v>
      </c>
      <c r="BV22" s="463">
        <f t="shared" si="46"/>
        <v>4.5951487999999997E-3</v>
      </c>
      <c r="BW22" s="463">
        <f t="shared" si="47"/>
        <v>0</v>
      </c>
      <c r="BX22" s="463">
        <f t="shared" si="48"/>
        <v>6.6973402073297423E-3</v>
      </c>
      <c r="BY22" s="463">
        <f t="shared" si="49"/>
        <v>6.9088000000000014E-3</v>
      </c>
      <c r="BZ22" s="147">
        <f t="shared" si="62"/>
        <v>13.606140207329743</v>
      </c>
      <c r="CA22" s="153">
        <f t="shared" si="63"/>
        <v>5.6396507574418719E-2</v>
      </c>
      <c r="CB22" s="5">
        <f t="shared" si="64"/>
        <v>0.34</v>
      </c>
      <c r="CC22" s="153">
        <f t="shared" si="65"/>
        <v>0.85772703215900326</v>
      </c>
      <c r="CD22" s="5">
        <f t="shared" si="66"/>
        <v>85.772703215900322</v>
      </c>
      <c r="CG22" s="59">
        <f t="shared" si="50"/>
        <v>-50</v>
      </c>
      <c r="CH22">
        <f t="shared" si="51"/>
        <v>-50</v>
      </c>
    </row>
    <row r="23" spans="5:86" x14ac:dyDescent="0.25">
      <c r="E23" s="150">
        <v>18</v>
      </c>
      <c r="F23" s="191">
        <f t="shared" si="52"/>
        <v>1.7999999999999999E-2</v>
      </c>
      <c r="G23" s="191"/>
      <c r="H23" s="191">
        <f t="shared" si="0"/>
        <v>0.36</v>
      </c>
      <c r="I23" s="472">
        <f t="shared" si="1"/>
        <v>20</v>
      </c>
      <c r="J23" s="152">
        <f t="shared" si="2"/>
        <v>20.32</v>
      </c>
      <c r="K23" s="386">
        <f t="shared" si="3"/>
        <v>40.32</v>
      </c>
      <c r="L23" s="386"/>
      <c r="M23" s="191">
        <f t="shared" si="4"/>
        <v>0.50396825396825395</v>
      </c>
      <c r="N23" s="152">
        <f t="shared" si="5"/>
        <v>3.4017857142857144</v>
      </c>
      <c r="O23" s="152">
        <f t="shared" si="53"/>
        <v>0.36</v>
      </c>
      <c r="P23" s="191">
        <f t="shared" si="6"/>
        <v>0.17008928571428572</v>
      </c>
      <c r="Q23" s="191">
        <f t="shared" si="7"/>
        <v>20</v>
      </c>
      <c r="R23" s="191">
        <f t="shared" si="8"/>
        <v>0.18898809523809523</v>
      </c>
      <c r="S23" s="152">
        <f t="shared" si="9"/>
        <v>355.01801101993465</v>
      </c>
      <c r="T23" s="152">
        <f t="shared" si="10"/>
        <v>20</v>
      </c>
      <c r="U23" s="191">
        <f t="shared" si="11"/>
        <v>7.9370078740157474E-2</v>
      </c>
      <c r="V23" s="191">
        <f t="shared" si="12"/>
        <v>0.59527559055118096</v>
      </c>
      <c r="W23" s="191">
        <f t="shared" si="13"/>
        <v>0.58590117180234347</v>
      </c>
      <c r="X23" s="175">
        <f t="shared" si="14"/>
        <v>350</v>
      </c>
      <c r="Y23" s="386">
        <f t="shared" si="54"/>
        <v>350</v>
      </c>
      <c r="AA23" s="191">
        <f t="shared" si="15"/>
        <v>0.19198790627362058</v>
      </c>
      <c r="AB23" s="153">
        <f t="shared" si="16"/>
        <v>1.4172335600907029</v>
      </c>
      <c r="AC23" s="153">
        <f t="shared" si="17"/>
        <v>4.7616048182941621E-2</v>
      </c>
      <c r="AD23" s="153"/>
      <c r="AE23" s="153">
        <f t="shared" si="18"/>
        <v>1.1072834645669289</v>
      </c>
      <c r="AF23" s="317">
        <f t="shared" si="19"/>
        <v>216.74666666666667</v>
      </c>
      <c r="AG23" s="463">
        <f t="shared" si="20"/>
        <v>2.9066190944881887E-2</v>
      </c>
      <c r="AI23" s="153">
        <f t="shared" si="21"/>
        <v>0.1244263025324821</v>
      </c>
      <c r="AJ23" s="153">
        <f t="shared" si="22"/>
        <v>0.15</v>
      </c>
      <c r="AK23" s="153">
        <f t="shared" si="23"/>
        <v>1.123855238095238</v>
      </c>
      <c r="AM23" s="317">
        <f t="shared" si="24"/>
        <v>18</v>
      </c>
      <c r="AN23" s="147">
        <f t="shared" si="25"/>
        <v>216.74666666666667</v>
      </c>
      <c r="AP23">
        <f t="shared" si="26"/>
        <v>18</v>
      </c>
      <c r="AQ23" s="147">
        <f t="shared" si="27"/>
        <v>216.74666666666667</v>
      </c>
      <c r="AR23" s="147"/>
      <c r="AS23" s="5">
        <f t="shared" si="55"/>
        <v>4.6136811023622046</v>
      </c>
      <c r="AT23" s="5">
        <f t="shared" si="28"/>
        <v>1.1249999999999998</v>
      </c>
      <c r="AU23" s="5">
        <f t="shared" si="56"/>
        <v>3.4886811023622046</v>
      </c>
      <c r="AV23" s="5">
        <f t="shared" si="29"/>
        <v>1.1072834645669289</v>
      </c>
      <c r="AW23" s="153">
        <f t="shared" si="57"/>
        <v>0.24383999999999995</v>
      </c>
      <c r="AX23" s="153">
        <f t="shared" si="30"/>
        <v>0.36575999999999997</v>
      </c>
      <c r="AY23" s="153">
        <f t="shared" si="31"/>
        <v>5.6711999999999999E-2</v>
      </c>
      <c r="AZ23" s="153">
        <f t="shared" si="58"/>
        <v>6.4494286923402449</v>
      </c>
      <c r="BA23" s="147">
        <f t="shared" si="32"/>
        <v>5.9640482169430262</v>
      </c>
      <c r="BB23" s="147">
        <f t="shared" si="33"/>
        <v>0.61247620799999991</v>
      </c>
      <c r="BC23" s="5">
        <f t="shared" si="34"/>
        <v>6.9773622047244077E-2</v>
      </c>
      <c r="BD23" s="147">
        <f t="shared" si="35"/>
        <v>7.037362204724408</v>
      </c>
      <c r="BE23" s="5"/>
      <c r="BF23" s="153">
        <f t="shared" si="59"/>
        <v>4.2764471234893103E-2</v>
      </c>
      <c r="BG23" s="153">
        <f t="shared" si="36"/>
        <v>7.5307370157242912E-2</v>
      </c>
      <c r="BH23" s="153"/>
      <c r="BI23" s="463">
        <f t="shared" si="37"/>
        <v>6.4007999999999979E-4</v>
      </c>
      <c r="BJ23" s="463">
        <f t="shared" si="38"/>
        <v>6.5544191999999998E-3</v>
      </c>
      <c r="BK23" s="463">
        <f t="shared" si="39"/>
        <v>2.7093333333333336E-3</v>
      </c>
      <c r="BL23" s="463">
        <f t="shared" si="40"/>
        <v>1.7618278809600003E-2</v>
      </c>
      <c r="BM23">
        <f t="shared" si="41"/>
        <v>5.7999999999999996E-3</v>
      </c>
      <c r="BN23">
        <f t="shared" si="42"/>
        <v>8.1279999999999991E-6</v>
      </c>
      <c r="BO23" s="463">
        <f t="shared" si="43"/>
        <v>3.3420596940308064E-2</v>
      </c>
      <c r="BP23" s="147">
        <f t="shared" si="60"/>
        <v>33.420596940308066</v>
      </c>
      <c r="BQ23" s="463">
        <f t="shared" si="44"/>
        <v>1.12087968E-2</v>
      </c>
      <c r="BR23" s="463"/>
      <c r="BT23" s="147">
        <f t="shared" si="61"/>
        <v>11.2087968</v>
      </c>
      <c r="BU23" s="463">
        <f t="shared" si="45"/>
        <v>1.4630399999999997E-3</v>
      </c>
      <c r="BV23" s="463">
        <f t="shared" si="46"/>
        <v>4.5142752000000008E-3</v>
      </c>
      <c r="BW23" s="463">
        <f t="shared" si="47"/>
        <v>0</v>
      </c>
      <c r="BX23" s="463">
        <f t="shared" si="48"/>
        <v>6.6977958109365777E-3</v>
      </c>
      <c r="BY23" s="463">
        <f t="shared" si="49"/>
        <v>7.3152000000000009E-3</v>
      </c>
      <c r="BZ23" s="147">
        <f t="shared" si="62"/>
        <v>14.012995810936578</v>
      </c>
      <c r="CA23" s="153">
        <f t="shared" si="63"/>
        <v>5.8642389551244643E-2</v>
      </c>
      <c r="CB23" s="5">
        <f t="shared" si="64"/>
        <v>0.36</v>
      </c>
      <c r="CC23" s="153">
        <f t="shared" si="65"/>
        <v>0.85992247556654455</v>
      </c>
      <c r="CD23" s="5">
        <f t="shared" si="66"/>
        <v>85.992247556654462</v>
      </c>
      <c r="CG23" s="59">
        <f t="shared" si="50"/>
        <v>-50</v>
      </c>
      <c r="CH23">
        <f t="shared" si="51"/>
        <v>-50</v>
      </c>
    </row>
    <row r="24" spans="5:86" x14ac:dyDescent="0.25">
      <c r="E24" s="150">
        <v>19</v>
      </c>
      <c r="F24" s="191">
        <f t="shared" si="52"/>
        <v>1.9000000000000003E-2</v>
      </c>
      <c r="G24" s="191"/>
      <c r="H24" s="191">
        <f t="shared" si="0"/>
        <v>0.38000000000000006</v>
      </c>
      <c r="I24" s="472">
        <f t="shared" si="1"/>
        <v>20</v>
      </c>
      <c r="J24" s="152">
        <f t="shared" si="2"/>
        <v>20.32</v>
      </c>
      <c r="K24" s="386">
        <f t="shared" si="3"/>
        <v>40.32</v>
      </c>
      <c r="L24" s="386"/>
      <c r="M24" s="191">
        <f t="shared" si="4"/>
        <v>0.50396825396825395</v>
      </c>
      <c r="N24" s="152">
        <f t="shared" si="5"/>
        <v>3.4017857142857144</v>
      </c>
      <c r="O24" s="152">
        <f t="shared" si="53"/>
        <v>0.38000000000000006</v>
      </c>
      <c r="P24" s="191">
        <f t="shared" si="6"/>
        <v>0.17008928571428572</v>
      </c>
      <c r="Q24" s="191">
        <f t="shared" si="7"/>
        <v>20</v>
      </c>
      <c r="R24" s="191">
        <f t="shared" si="8"/>
        <v>0.18898809523809523</v>
      </c>
      <c r="S24" s="152">
        <f t="shared" si="9"/>
        <v>335.28222808993911</v>
      </c>
      <c r="T24" s="152">
        <f t="shared" si="10"/>
        <v>20</v>
      </c>
      <c r="U24" s="191">
        <f t="shared" si="11"/>
        <v>8.3779527559055128E-2</v>
      </c>
      <c r="V24" s="191">
        <f t="shared" si="12"/>
        <v>0.62834645669291334</v>
      </c>
      <c r="W24" s="191">
        <f t="shared" si="13"/>
        <v>0.61845123690247383</v>
      </c>
      <c r="X24" s="175">
        <f t="shared" si="14"/>
        <v>350</v>
      </c>
      <c r="Y24" s="386">
        <f t="shared" si="54"/>
        <v>350</v>
      </c>
      <c r="AA24" s="191">
        <f t="shared" si="15"/>
        <v>0.19198790627362058</v>
      </c>
      <c r="AB24" s="153">
        <f t="shared" si="16"/>
        <v>1.4172335600907029</v>
      </c>
      <c r="AC24" s="153">
        <f t="shared" si="17"/>
        <v>4.7616048182941621E-2</v>
      </c>
      <c r="AD24" s="153"/>
      <c r="AE24" s="153">
        <f t="shared" si="18"/>
        <v>1.1072834645669289</v>
      </c>
      <c r="AF24" s="317">
        <f t="shared" si="19"/>
        <v>228.7881481481482</v>
      </c>
      <c r="AG24" s="463">
        <f t="shared" si="20"/>
        <v>2.9066190944881887E-2</v>
      </c>
      <c r="AI24" s="153">
        <f t="shared" si="21"/>
        <v>0.12783587361148116</v>
      </c>
      <c r="AJ24" s="153">
        <f t="shared" si="22"/>
        <v>0.15</v>
      </c>
      <c r="AK24" s="153">
        <f t="shared" si="23"/>
        <v>1.1307360846560848</v>
      </c>
      <c r="AM24" s="317">
        <f t="shared" si="24"/>
        <v>19.000000000000004</v>
      </c>
      <c r="AN24" s="147">
        <f t="shared" si="25"/>
        <v>228.7881481481482</v>
      </c>
      <c r="AP24">
        <f t="shared" si="26"/>
        <v>19.000000000000004</v>
      </c>
      <c r="AQ24" s="147">
        <f t="shared" si="27"/>
        <v>228.7881481481482</v>
      </c>
      <c r="AR24" s="147"/>
      <c r="AS24" s="5">
        <f t="shared" si="55"/>
        <v>4.370855781185246</v>
      </c>
      <c r="AT24" s="5">
        <f t="shared" si="28"/>
        <v>1.1249999999999998</v>
      </c>
      <c r="AU24" s="5">
        <f t="shared" si="56"/>
        <v>3.245855781185246</v>
      </c>
      <c r="AV24" s="5">
        <f t="shared" si="29"/>
        <v>1.1072834645669289</v>
      </c>
      <c r="AW24" s="153">
        <f t="shared" si="57"/>
        <v>0.25738666666666665</v>
      </c>
      <c r="AX24" s="153">
        <f t="shared" si="30"/>
        <v>0.38608000000000003</v>
      </c>
      <c r="AY24" s="153">
        <f t="shared" si="31"/>
        <v>5.5696000000000002E-2</v>
      </c>
      <c r="AZ24" s="153">
        <f t="shared" si="58"/>
        <v>6.9319161160586038</v>
      </c>
      <c r="BA24" s="147">
        <f t="shared" si="32"/>
        <v>5.9640482169430262</v>
      </c>
      <c r="BB24" s="147">
        <f t="shared" si="33"/>
        <v>0.67925281200000009</v>
      </c>
      <c r="BC24" s="5">
        <f t="shared" si="34"/>
        <v>6.852362204724409E-2</v>
      </c>
      <c r="BD24" s="147">
        <f t="shared" si="35"/>
        <v>6.9156955380577427</v>
      </c>
      <c r="BE24" s="5"/>
      <c r="BF24" s="153">
        <f t="shared" si="59"/>
        <v>4.3936317551656508E-2</v>
      </c>
      <c r="BG24" s="153">
        <f t="shared" si="36"/>
        <v>7.4629752779973746E-2</v>
      </c>
      <c r="BH24" s="153"/>
      <c r="BI24" s="463">
        <f t="shared" si="37"/>
        <v>6.7563999999999981E-4</v>
      </c>
      <c r="BJ24" s="463">
        <f t="shared" si="38"/>
        <v>6.9185536000000011E-3</v>
      </c>
      <c r="BK24" s="463">
        <f t="shared" si="39"/>
        <v>2.8598518518518526E-3</v>
      </c>
      <c r="BL24" s="463">
        <f t="shared" si="40"/>
        <v>1.859707207680001E-2</v>
      </c>
      <c r="BM24">
        <f t="shared" si="41"/>
        <v>5.7999999999999996E-3</v>
      </c>
      <c r="BN24">
        <f t="shared" si="42"/>
        <v>8.5795555555555577E-6</v>
      </c>
      <c r="BO24" s="463">
        <f t="shared" si="43"/>
        <v>3.4955265853146393E-2</v>
      </c>
      <c r="BP24" s="147">
        <f t="shared" si="60"/>
        <v>34.955265853146393</v>
      </c>
      <c r="BQ24" s="463">
        <f t="shared" si="44"/>
        <v>1.1513174400000003E-2</v>
      </c>
      <c r="BR24" s="463"/>
      <c r="BT24" s="147">
        <f t="shared" si="61"/>
        <v>11.513174400000002</v>
      </c>
      <c r="BU24" s="463">
        <f t="shared" si="45"/>
        <v>1.5443199999999999E-3</v>
      </c>
      <c r="BV24" s="463">
        <f t="shared" si="46"/>
        <v>4.4334015999999993E-3</v>
      </c>
      <c r="BW24" s="463">
        <f t="shared" si="47"/>
        <v>0</v>
      </c>
      <c r="BX24" s="463">
        <f t="shared" si="48"/>
        <v>6.6982514145730501E-3</v>
      </c>
      <c r="BY24" s="463">
        <f t="shared" si="49"/>
        <v>7.7216000000000021E-3</v>
      </c>
      <c r="BZ24" s="147">
        <f t="shared" si="62"/>
        <v>14.419851414573053</v>
      </c>
      <c r="CA24" s="153">
        <f t="shared" si="63"/>
        <v>6.0888291667719446E-2</v>
      </c>
      <c r="CB24" s="5">
        <f t="shared" si="64"/>
        <v>0.38000000000000006</v>
      </c>
      <c r="CC24" s="153">
        <f t="shared" si="65"/>
        <v>0.86189632880156275</v>
      </c>
      <c r="CD24" s="5">
        <f t="shared" si="66"/>
        <v>86.189632880156282</v>
      </c>
      <c r="CG24" s="59">
        <f t="shared" si="50"/>
        <v>-50</v>
      </c>
      <c r="CH24">
        <f t="shared" si="51"/>
        <v>-50</v>
      </c>
    </row>
    <row r="25" spans="5:86" x14ac:dyDescent="0.25">
      <c r="E25" s="150">
        <v>20</v>
      </c>
      <c r="F25" s="191">
        <f t="shared" si="52"/>
        <v>2.0000000000000004E-2</v>
      </c>
      <c r="G25" s="191"/>
      <c r="H25" s="191">
        <f t="shared" si="0"/>
        <v>0.40000000000000008</v>
      </c>
      <c r="I25" s="472">
        <f t="shared" si="1"/>
        <v>20</v>
      </c>
      <c r="J25" s="152">
        <f t="shared" si="2"/>
        <v>20.32</v>
      </c>
      <c r="K25" s="386">
        <f t="shared" si="3"/>
        <v>40.32</v>
      </c>
      <c r="L25" s="386"/>
      <c r="M25" s="191">
        <f t="shared" si="4"/>
        <v>0.50396825396825395</v>
      </c>
      <c r="N25" s="152">
        <f t="shared" si="5"/>
        <v>3.4017857142857144</v>
      </c>
      <c r="O25" s="152">
        <f t="shared" si="53"/>
        <v>0.40000000000000008</v>
      </c>
      <c r="P25" s="191">
        <f t="shared" si="6"/>
        <v>0.17008928571428572</v>
      </c>
      <c r="Q25" s="191">
        <f t="shared" si="7"/>
        <v>20</v>
      </c>
      <c r="R25" s="191">
        <f t="shared" si="8"/>
        <v>0.18898809523809523</v>
      </c>
      <c r="S25" s="152">
        <f t="shared" si="9"/>
        <v>317.52013590883251</v>
      </c>
      <c r="T25" s="152">
        <f t="shared" si="10"/>
        <v>20</v>
      </c>
      <c r="U25" s="191">
        <f t="shared" si="11"/>
        <v>8.8188976377952782E-2</v>
      </c>
      <c r="V25" s="191">
        <f t="shared" si="12"/>
        <v>0.66141732283464583</v>
      </c>
      <c r="W25" s="191">
        <f t="shared" si="13"/>
        <v>0.6510013020026042</v>
      </c>
      <c r="X25" s="175">
        <f t="shared" si="14"/>
        <v>350</v>
      </c>
      <c r="Y25" s="386">
        <f t="shared" si="54"/>
        <v>350</v>
      </c>
      <c r="AA25" s="191">
        <f t="shared" si="15"/>
        <v>0.19198790627362058</v>
      </c>
      <c r="AB25" s="153">
        <f t="shared" si="16"/>
        <v>1.4172335600907029</v>
      </c>
      <c r="AC25" s="153">
        <f t="shared" si="17"/>
        <v>4.7616048182941621E-2</v>
      </c>
      <c r="AD25" s="153"/>
      <c r="AE25" s="153">
        <f t="shared" si="18"/>
        <v>1.1072834645669289</v>
      </c>
      <c r="AF25" s="317">
        <f t="shared" si="19"/>
        <v>240.82962962962969</v>
      </c>
      <c r="AG25" s="463">
        <f t="shared" si="20"/>
        <v>2.9066190944881887E-2</v>
      </c>
      <c r="AI25" s="153">
        <f t="shared" si="21"/>
        <v>0.1311568389452735</v>
      </c>
      <c r="AJ25" s="153">
        <f t="shared" si="22"/>
        <v>0.15</v>
      </c>
      <c r="AK25" s="153">
        <f t="shared" si="23"/>
        <v>1.1376169312169313</v>
      </c>
      <c r="AM25" s="317">
        <f t="shared" si="24"/>
        <v>20.000000000000004</v>
      </c>
      <c r="AN25" s="147">
        <f t="shared" si="25"/>
        <v>240.82962962962969</v>
      </c>
      <c r="AP25">
        <f t="shared" si="26"/>
        <v>20.000000000000004</v>
      </c>
      <c r="AQ25" s="147">
        <f t="shared" si="27"/>
        <v>240.82962962962969</v>
      </c>
      <c r="AR25" s="147"/>
      <c r="AS25" s="5">
        <f t="shared" si="55"/>
        <v>4.1523129921259834</v>
      </c>
      <c r="AT25" s="5">
        <f t="shared" si="28"/>
        <v>1.1249999999999998</v>
      </c>
      <c r="AU25" s="5">
        <f t="shared" si="56"/>
        <v>3.0273129921259834</v>
      </c>
      <c r="AV25" s="5">
        <f t="shared" si="29"/>
        <v>1.1072834645669289</v>
      </c>
      <c r="AW25" s="153">
        <f t="shared" si="57"/>
        <v>0.27093333333333336</v>
      </c>
      <c r="AX25" s="153">
        <f t="shared" si="30"/>
        <v>0.40640000000000004</v>
      </c>
      <c r="AY25" s="153">
        <f t="shared" si="31"/>
        <v>5.4679999999999999E-2</v>
      </c>
      <c r="AZ25" s="153">
        <f t="shared" si="58"/>
        <v>7.4323335771762995</v>
      </c>
      <c r="BA25" s="147">
        <f t="shared" si="32"/>
        <v>5.9640482169430262</v>
      </c>
      <c r="BB25" s="147">
        <f t="shared" si="33"/>
        <v>0.74947680000000028</v>
      </c>
      <c r="BC25" s="5">
        <f t="shared" si="34"/>
        <v>6.7273622047244089E-2</v>
      </c>
      <c r="BD25" s="147">
        <f t="shared" si="35"/>
        <v>6.7940288713910757</v>
      </c>
      <c r="BE25" s="5"/>
      <c r="BF25" s="153">
        <f t="shared" si="59"/>
        <v>4.507771067833858E-2</v>
      </c>
      <c r="BG25" s="153">
        <f t="shared" si="36"/>
        <v>7.3945926189344605E-2</v>
      </c>
      <c r="BH25" s="153"/>
      <c r="BI25" s="463">
        <f t="shared" si="37"/>
        <v>7.1119999999999994E-4</v>
      </c>
      <c r="BJ25" s="463">
        <f t="shared" si="38"/>
        <v>7.2826880000000016E-3</v>
      </c>
      <c r="BK25" s="463">
        <f t="shared" si="39"/>
        <v>3.0103703703703712E-3</v>
      </c>
      <c r="BL25" s="463">
        <f t="shared" si="40"/>
        <v>1.957586534400001E-2</v>
      </c>
      <c r="BM25">
        <f t="shared" si="41"/>
        <v>5.7999999999999996E-3</v>
      </c>
      <c r="BN25">
        <f t="shared" si="42"/>
        <v>9.0311111111111129E-6</v>
      </c>
      <c r="BO25" s="463">
        <f t="shared" si="43"/>
        <v>3.6489954906000426E-2</v>
      </c>
      <c r="BP25" s="147">
        <f t="shared" si="60"/>
        <v>36.489954906000428</v>
      </c>
      <c r="BQ25" s="463">
        <f t="shared" si="44"/>
        <v>1.1817552000000004E-2</v>
      </c>
      <c r="BR25" s="463"/>
      <c r="BT25" s="147">
        <f t="shared" si="61"/>
        <v>11.817552000000004</v>
      </c>
      <c r="BU25" s="463">
        <f t="shared" si="45"/>
        <v>1.6256E-3</v>
      </c>
      <c r="BV25" s="463">
        <f t="shared" si="46"/>
        <v>4.3525280000000005E-3</v>
      </c>
      <c r="BW25" s="463">
        <f t="shared" si="47"/>
        <v>0</v>
      </c>
      <c r="BX25" s="463">
        <f t="shared" si="48"/>
        <v>6.6987070182391644E-3</v>
      </c>
      <c r="BY25" s="463">
        <f t="shared" si="49"/>
        <v>8.1280000000000033E-3</v>
      </c>
      <c r="BZ25" s="147">
        <f t="shared" si="62"/>
        <v>14.826707018239169</v>
      </c>
      <c r="CA25" s="153">
        <f t="shared" si="63"/>
        <v>6.3134213924239596E-2</v>
      </c>
      <c r="CB25" s="5">
        <f t="shared" si="64"/>
        <v>0.40000000000000008</v>
      </c>
      <c r="CC25" s="153">
        <f t="shared" si="65"/>
        <v>0.86368052278131358</v>
      </c>
      <c r="CD25" s="5">
        <f t="shared" si="66"/>
        <v>86.368052278131358</v>
      </c>
      <c r="CG25" s="59">
        <f t="shared" si="50"/>
        <v>-50</v>
      </c>
      <c r="CH25">
        <f t="shared" si="51"/>
        <v>-50</v>
      </c>
    </row>
    <row r="26" spans="5:86" x14ac:dyDescent="0.25">
      <c r="E26" s="150">
        <v>21</v>
      </c>
      <c r="F26" s="191">
        <f t="shared" si="52"/>
        <v>2.1000000000000001E-2</v>
      </c>
      <c r="G26" s="191"/>
      <c r="H26" s="191">
        <f t="shared" si="0"/>
        <v>0.42000000000000004</v>
      </c>
      <c r="I26" s="472">
        <f t="shared" si="1"/>
        <v>20</v>
      </c>
      <c r="J26" s="152">
        <f t="shared" si="2"/>
        <v>20.32</v>
      </c>
      <c r="K26" s="386">
        <f t="shared" si="3"/>
        <v>40.32</v>
      </c>
      <c r="L26" s="386"/>
      <c r="M26" s="191">
        <f t="shared" si="4"/>
        <v>0.50396825396825395</v>
      </c>
      <c r="N26" s="152">
        <f t="shared" si="5"/>
        <v>3.4017857142857144</v>
      </c>
      <c r="O26" s="152">
        <f t="shared" si="53"/>
        <v>0.42000000000000004</v>
      </c>
      <c r="P26" s="191">
        <f t="shared" si="6"/>
        <v>0.17008928571428572</v>
      </c>
      <c r="Q26" s="191">
        <f t="shared" si="7"/>
        <v>20</v>
      </c>
      <c r="R26" s="191">
        <f t="shared" si="8"/>
        <v>0.18898809523809523</v>
      </c>
      <c r="S26" s="152">
        <f t="shared" si="9"/>
        <v>301.4497796489818</v>
      </c>
      <c r="T26" s="152">
        <f t="shared" si="10"/>
        <v>20</v>
      </c>
      <c r="U26" s="191">
        <f t="shared" si="11"/>
        <v>9.2598425196850409E-2</v>
      </c>
      <c r="V26" s="191">
        <f t="shared" si="12"/>
        <v>0.69448818897637798</v>
      </c>
      <c r="W26" s="191">
        <f t="shared" si="13"/>
        <v>0.68355136710273423</v>
      </c>
      <c r="X26" s="175">
        <f t="shared" si="14"/>
        <v>350</v>
      </c>
      <c r="Y26" s="386">
        <f t="shared" si="54"/>
        <v>350</v>
      </c>
      <c r="AA26" s="191">
        <f t="shared" si="15"/>
        <v>0.19198790627362058</v>
      </c>
      <c r="AB26" s="153">
        <f t="shared" si="16"/>
        <v>1.4172335600907029</v>
      </c>
      <c r="AC26" s="153">
        <f t="shared" si="17"/>
        <v>4.7616048182941621E-2</v>
      </c>
      <c r="AD26" s="153"/>
      <c r="AE26" s="153">
        <f t="shared" si="18"/>
        <v>1.1072834645669289</v>
      </c>
      <c r="AF26" s="317">
        <f t="shared" si="19"/>
        <v>252.87111111111116</v>
      </c>
      <c r="AG26" s="463">
        <f t="shared" si="20"/>
        <v>2.9066190944881887E-2</v>
      </c>
      <c r="AI26" s="153">
        <f t="shared" si="21"/>
        <v>0.13439576712911097</v>
      </c>
      <c r="AJ26" s="153">
        <f t="shared" si="22"/>
        <v>0.15</v>
      </c>
      <c r="AK26" s="153">
        <f t="shared" si="23"/>
        <v>1.1444977777777778</v>
      </c>
      <c r="AM26" s="317">
        <f t="shared" si="24"/>
        <v>21</v>
      </c>
      <c r="AN26" s="147">
        <f t="shared" si="25"/>
        <v>252.87111111111116</v>
      </c>
      <c r="AP26">
        <f t="shared" si="26"/>
        <v>21</v>
      </c>
      <c r="AQ26" s="147">
        <f t="shared" si="27"/>
        <v>252.87111111111116</v>
      </c>
      <c r="AR26" s="147"/>
      <c r="AS26" s="5">
        <f t="shared" si="55"/>
        <v>3.9545838020247461</v>
      </c>
      <c r="AT26" s="5">
        <f t="shared" si="28"/>
        <v>1.1249999999999998</v>
      </c>
      <c r="AU26" s="5">
        <f t="shared" si="56"/>
        <v>2.8295838020247466</v>
      </c>
      <c r="AV26" s="5">
        <f t="shared" si="29"/>
        <v>1.1072834645669289</v>
      </c>
      <c r="AW26" s="153">
        <f t="shared" si="57"/>
        <v>0.28448000000000001</v>
      </c>
      <c r="AX26" s="153">
        <f t="shared" si="30"/>
        <v>0.42671999999999999</v>
      </c>
      <c r="AY26" s="153">
        <f t="shared" si="31"/>
        <v>5.3663999999999996E-2</v>
      </c>
      <c r="AZ26" s="153">
        <f t="shared" si="58"/>
        <v>7.9516994633273708</v>
      </c>
      <c r="BA26" s="147">
        <f t="shared" si="32"/>
        <v>5.9640482169430262</v>
      </c>
      <c r="BB26" s="147">
        <f t="shared" si="33"/>
        <v>0.82314817200000001</v>
      </c>
      <c r="BC26" s="5">
        <f t="shared" si="34"/>
        <v>6.6023622047244088E-2</v>
      </c>
      <c r="BD26" s="147">
        <f t="shared" si="35"/>
        <v>6.6723622047244087</v>
      </c>
      <c r="BE26" s="5"/>
      <c r="BF26" s="153">
        <f t="shared" si="59"/>
        <v>4.6190908196310665E-2</v>
      </c>
      <c r="BG26" s="153">
        <f t="shared" si="36"/>
        <v>7.3255716500488885E-2</v>
      </c>
      <c r="BH26" s="153"/>
      <c r="BI26" s="463">
        <f t="shared" si="37"/>
        <v>7.4675999999999985E-4</v>
      </c>
      <c r="BJ26" s="463">
        <f t="shared" si="38"/>
        <v>7.646822400000002E-3</v>
      </c>
      <c r="BK26" s="463">
        <f t="shared" si="39"/>
        <v>3.1608888888888897E-3</v>
      </c>
      <c r="BL26" s="463">
        <f t="shared" si="40"/>
        <v>2.0554658611200007E-2</v>
      </c>
      <c r="BM26">
        <f t="shared" si="41"/>
        <v>5.7999999999999996E-3</v>
      </c>
      <c r="BN26">
        <f t="shared" si="42"/>
        <v>9.4826666666666681E-6</v>
      </c>
      <c r="BO26" s="463">
        <f t="shared" si="43"/>
        <v>3.8024664099266595E-2</v>
      </c>
      <c r="BP26" s="147">
        <f t="shared" si="60"/>
        <v>38.024664099266595</v>
      </c>
      <c r="BQ26" s="463">
        <f t="shared" si="44"/>
        <v>1.2121929600000001E-2</v>
      </c>
      <c r="BR26" s="463"/>
      <c r="BT26" s="147">
        <f t="shared" si="61"/>
        <v>12.121929600000001</v>
      </c>
      <c r="BU26" s="463">
        <f t="shared" si="45"/>
        <v>1.70688E-3</v>
      </c>
      <c r="BV26" s="463">
        <f t="shared" si="46"/>
        <v>4.2716543999999999E-3</v>
      </c>
      <c r="BW26" s="463">
        <f t="shared" si="47"/>
        <v>0</v>
      </c>
      <c r="BX26" s="463">
        <f t="shared" si="48"/>
        <v>6.6991626219349149E-3</v>
      </c>
      <c r="BY26" s="463">
        <f t="shared" si="49"/>
        <v>8.5344000000000027E-3</v>
      </c>
      <c r="BZ26" s="147">
        <f t="shared" si="62"/>
        <v>15.233562621934917</v>
      </c>
      <c r="CA26" s="153">
        <f t="shared" si="63"/>
        <v>6.5380156321201505E-2</v>
      </c>
      <c r="CB26" s="5">
        <f t="shared" si="64"/>
        <v>0.42000000000000004</v>
      </c>
      <c r="CC26" s="153">
        <f t="shared" si="65"/>
        <v>0.86530113464725977</v>
      </c>
      <c r="CD26" s="5">
        <f t="shared" si="66"/>
        <v>86.530113464725972</v>
      </c>
      <c r="CG26" s="59">
        <f t="shared" si="50"/>
        <v>-50</v>
      </c>
      <c r="CH26">
        <f t="shared" si="51"/>
        <v>-50</v>
      </c>
    </row>
    <row r="27" spans="5:86" x14ac:dyDescent="0.25">
      <c r="E27" s="150">
        <v>22</v>
      </c>
      <c r="F27" s="191">
        <f t="shared" si="52"/>
        <v>2.2000000000000002E-2</v>
      </c>
      <c r="G27" s="191"/>
      <c r="H27" s="191">
        <f t="shared" si="0"/>
        <v>0.44000000000000006</v>
      </c>
      <c r="I27" s="472">
        <f t="shared" si="1"/>
        <v>20</v>
      </c>
      <c r="J27" s="152">
        <f t="shared" si="2"/>
        <v>20.32</v>
      </c>
      <c r="K27" s="386">
        <f t="shared" si="3"/>
        <v>40.32</v>
      </c>
      <c r="L27" s="386"/>
      <c r="M27" s="191">
        <f t="shared" si="4"/>
        <v>0.50396825396825395</v>
      </c>
      <c r="N27" s="152">
        <f t="shared" si="5"/>
        <v>3.4017857142857144</v>
      </c>
      <c r="O27" s="152">
        <f t="shared" si="53"/>
        <v>0.44000000000000006</v>
      </c>
      <c r="P27" s="191">
        <f t="shared" si="6"/>
        <v>0.17008928571428572</v>
      </c>
      <c r="Q27" s="191">
        <f t="shared" si="7"/>
        <v>20</v>
      </c>
      <c r="R27" s="191">
        <f t="shared" si="8"/>
        <v>0.18898809523809523</v>
      </c>
      <c r="S27" s="152">
        <f t="shared" si="9"/>
        <v>286.84046900841417</v>
      </c>
      <c r="T27" s="152">
        <f t="shared" si="10"/>
        <v>20</v>
      </c>
      <c r="U27" s="191">
        <f t="shared" si="11"/>
        <v>9.700787401574805E-2</v>
      </c>
      <c r="V27" s="191">
        <f t="shared" si="12"/>
        <v>0.72755905511811036</v>
      </c>
      <c r="W27" s="191">
        <f t="shared" si="13"/>
        <v>0.71610143220286437</v>
      </c>
      <c r="X27" s="175">
        <f t="shared" si="14"/>
        <v>350</v>
      </c>
      <c r="Y27" s="386">
        <f t="shared" si="54"/>
        <v>350</v>
      </c>
      <c r="AA27" s="191">
        <f t="shared" si="15"/>
        <v>0.19198790627362058</v>
      </c>
      <c r="AB27" s="153">
        <f t="shared" si="16"/>
        <v>1.4172335600907029</v>
      </c>
      <c r="AC27" s="153">
        <f t="shared" si="17"/>
        <v>4.7616048182941621E-2</v>
      </c>
      <c r="AD27" s="153"/>
      <c r="AE27" s="153">
        <f t="shared" si="18"/>
        <v>1.1072834645669289</v>
      </c>
      <c r="AF27" s="317">
        <f t="shared" si="19"/>
        <v>264.91259259259266</v>
      </c>
      <c r="AG27" s="463">
        <f t="shared" si="20"/>
        <v>2.9066190944881887E-2</v>
      </c>
      <c r="AI27" s="153">
        <f t="shared" si="21"/>
        <v>0.13755845318383034</v>
      </c>
      <c r="AJ27" s="153">
        <f t="shared" si="22"/>
        <v>0.15</v>
      </c>
      <c r="AK27" s="153">
        <f t="shared" si="23"/>
        <v>1.1513786243386244</v>
      </c>
      <c r="AM27" s="317">
        <f t="shared" si="24"/>
        <v>22.000000000000004</v>
      </c>
      <c r="AN27" s="147">
        <f t="shared" si="25"/>
        <v>264.91259259259266</v>
      </c>
      <c r="AP27">
        <f t="shared" si="26"/>
        <v>22.000000000000004</v>
      </c>
      <c r="AQ27" s="147">
        <f t="shared" si="27"/>
        <v>264.91259259259266</v>
      </c>
      <c r="AR27" s="147"/>
      <c r="AS27" s="5">
        <f t="shared" si="55"/>
        <v>3.774829992841803</v>
      </c>
      <c r="AT27" s="5">
        <f t="shared" si="28"/>
        <v>1.1249999999999998</v>
      </c>
      <c r="AU27" s="5">
        <f t="shared" si="56"/>
        <v>2.649829992841803</v>
      </c>
      <c r="AV27" s="5">
        <f t="shared" si="29"/>
        <v>1.1072834645669289</v>
      </c>
      <c r="AW27" s="153">
        <f t="shared" si="57"/>
        <v>0.29802666666666666</v>
      </c>
      <c r="AX27" s="153">
        <f t="shared" si="30"/>
        <v>0.44704000000000005</v>
      </c>
      <c r="AY27" s="153">
        <f t="shared" si="31"/>
        <v>5.2648E-2</v>
      </c>
      <c r="AZ27" s="153">
        <f t="shared" si="58"/>
        <v>8.4911107734386881</v>
      </c>
      <c r="BA27" s="147">
        <f t="shared" si="32"/>
        <v>5.9640482169430262</v>
      </c>
      <c r="BB27" s="147">
        <f t="shared" si="33"/>
        <v>0.90026692800000019</v>
      </c>
      <c r="BC27" s="5">
        <f t="shared" si="34"/>
        <v>6.4773622047244073E-2</v>
      </c>
      <c r="BD27" s="147">
        <f t="shared" si="35"/>
        <v>6.5506955380577407</v>
      </c>
      <c r="BE27" s="5"/>
      <c r="BF27" s="153">
        <f t="shared" si="59"/>
        <v>4.7277901814695621E-2</v>
      </c>
      <c r="BG27" s="153">
        <f t="shared" si="36"/>
        <v>7.2558941557881063E-2</v>
      </c>
      <c r="BH27" s="153"/>
      <c r="BI27" s="463">
        <f t="shared" si="37"/>
        <v>7.8231999999999965E-4</v>
      </c>
      <c r="BJ27" s="463">
        <f t="shared" si="38"/>
        <v>8.0109568000000034E-3</v>
      </c>
      <c r="BK27" s="463">
        <f t="shared" si="39"/>
        <v>3.3114074074074079E-3</v>
      </c>
      <c r="BL27" s="463">
        <f t="shared" si="40"/>
        <v>2.1533451878400011E-2</v>
      </c>
      <c r="BM27">
        <f t="shared" si="41"/>
        <v>5.7999999999999996E-3</v>
      </c>
      <c r="BN27">
        <f t="shared" si="42"/>
        <v>9.9342222222222251E-6</v>
      </c>
      <c r="BO27" s="463">
        <f t="shared" si="43"/>
        <v>3.9559393433341403E-2</v>
      </c>
      <c r="BP27" s="147">
        <f t="shared" si="60"/>
        <v>39.559393433341405</v>
      </c>
      <c r="BQ27" s="463">
        <f t="shared" si="44"/>
        <v>1.24263072E-2</v>
      </c>
      <c r="BR27" s="463"/>
      <c r="BT27" s="147">
        <f t="shared" si="61"/>
        <v>12.4263072</v>
      </c>
      <c r="BU27" s="463">
        <f t="shared" si="45"/>
        <v>1.7881599999999996E-3</v>
      </c>
      <c r="BV27" s="463">
        <f t="shared" si="46"/>
        <v>4.1907807999999993E-3</v>
      </c>
      <c r="BW27" s="463">
        <f t="shared" si="47"/>
        <v>0</v>
      </c>
      <c r="BX27" s="463">
        <f t="shared" si="48"/>
        <v>6.6996182256603047E-3</v>
      </c>
      <c r="BY27" s="463">
        <f t="shared" si="49"/>
        <v>8.9408000000000022E-3</v>
      </c>
      <c r="BZ27" s="147">
        <f t="shared" si="62"/>
        <v>15.640418225660307</v>
      </c>
      <c r="CA27" s="153">
        <f t="shared" si="63"/>
        <v>6.7626118859001716E-2</v>
      </c>
      <c r="CB27" s="5">
        <f t="shared" si="64"/>
        <v>0.44000000000000006</v>
      </c>
      <c r="CC27" s="153">
        <f t="shared" si="65"/>
        <v>0.86677967041765724</v>
      </c>
      <c r="CD27" s="5">
        <f t="shared" si="66"/>
        <v>86.677967041765726</v>
      </c>
      <c r="CG27" s="59">
        <f t="shared" si="50"/>
        <v>-50</v>
      </c>
      <c r="CH27">
        <f t="shared" si="51"/>
        <v>-50</v>
      </c>
    </row>
    <row r="28" spans="5:86" x14ac:dyDescent="0.25">
      <c r="E28" s="150">
        <v>23</v>
      </c>
      <c r="F28" s="191">
        <f t="shared" si="52"/>
        <v>2.3000000000000003E-2</v>
      </c>
      <c r="G28" s="191"/>
      <c r="H28" s="191">
        <f t="shared" si="0"/>
        <v>0.46000000000000008</v>
      </c>
      <c r="I28" s="472">
        <f t="shared" si="1"/>
        <v>20</v>
      </c>
      <c r="J28" s="152">
        <f t="shared" si="2"/>
        <v>20.32</v>
      </c>
      <c r="K28" s="386">
        <f t="shared" si="3"/>
        <v>40.32</v>
      </c>
      <c r="L28" s="386"/>
      <c r="M28" s="191">
        <f t="shared" si="4"/>
        <v>0.50396825396825395</v>
      </c>
      <c r="N28" s="152">
        <f t="shared" si="5"/>
        <v>3.4017857142857144</v>
      </c>
      <c r="O28" s="152">
        <f t="shared" si="53"/>
        <v>0.46000000000000008</v>
      </c>
      <c r="P28" s="191">
        <f t="shared" si="6"/>
        <v>0.17008928571428572</v>
      </c>
      <c r="Q28" s="191">
        <f t="shared" si="7"/>
        <v>20</v>
      </c>
      <c r="R28" s="191">
        <f t="shared" si="8"/>
        <v>0.18898809523809523</v>
      </c>
      <c r="S28" s="152">
        <f t="shared" si="9"/>
        <v>273.50163374888217</v>
      </c>
      <c r="T28" s="152">
        <f t="shared" si="10"/>
        <v>20</v>
      </c>
      <c r="U28" s="191">
        <f t="shared" si="11"/>
        <v>0.10141732283464569</v>
      </c>
      <c r="V28" s="191">
        <f t="shared" si="12"/>
        <v>0.76062992125984263</v>
      </c>
      <c r="W28" s="191">
        <f t="shared" si="13"/>
        <v>0.74865149730299463</v>
      </c>
      <c r="X28" s="175">
        <f t="shared" si="14"/>
        <v>350</v>
      </c>
      <c r="Y28" s="386">
        <f t="shared" si="54"/>
        <v>350</v>
      </c>
      <c r="AA28" s="191">
        <f t="shared" si="15"/>
        <v>0.19198790627362058</v>
      </c>
      <c r="AB28" s="153">
        <f t="shared" si="16"/>
        <v>1.4172335600907029</v>
      </c>
      <c r="AC28" s="153">
        <f t="shared" si="17"/>
        <v>4.7616048182941621E-2</v>
      </c>
      <c r="AD28" s="153"/>
      <c r="AE28" s="153">
        <f t="shared" si="18"/>
        <v>1.1072834645669289</v>
      </c>
      <c r="AF28" s="317">
        <f t="shared" si="19"/>
        <v>276.95407407407419</v>
      </c>
      <c r="AG28" s="463">
        <f t="shared" si="20"/>
        <v>2.9066190944881887E-2</v>
      </c>
      <c r="AI28" s="153">
        <f t="shared" si="21"/>
        <v>0.14065004039257814</v>
      </c>
      <c r="AJ28" s="153">
        <f t="shared" si="22"/>
        <v>0.15</v>
      </c>
      <c r="AK28" s="153">
        <f t="shared" si="23"/>
        <v>1.1582594708994709</v>
      </c>
      <c r="AM28" s="317">
        <f t="shared" si="24"/>
        <v>23.000000000000004</v>
      </c>
      <c r="AN28" s="147">
        <f t="shared" si="25"/>
        <v>276.95407407407419</v>
      </c>
      <c r="AP28">
        <f t="shared" si="26"/>
        <v>23.000000000000004</v>
      </c>
      <c r="AQ28" s="147">
        <f t="shared" si="27"/>
        <v>276.95407407407419</v>
      </c>
      <c r="AR28" s="147"/>
      <c r="AS28" s="5">
        <f t="shared" si="55"/>
        <v>3.6107069496747677</v>
      </c>
      <c r="AT28" s="5">
        <f t="shared" si="28"/>
        <v>1.1249999999999998</v>
      </c>
      <c r="AU28" s="5">
        <f t="shared" si="56"/>
        <v>2.4857069496747677</v>
      </c>
      <c r="AV28" s="5">
        <f t="shared" si="29"/>
        <v>1.1072834645669289</v>
      </c>
      <c r="AW28" s="153">
        <f t="shared" si="57"/>
        <v>0.31157333333333337</v>
      </c>
      <c r="AX28" s="153">
        <f t="shared" si="30"/>
        <v>0.46736000000000011</v>
      </c>
      <c r="AY28" s="153">
        <f t="shared" si="31"/>
        <v>5.1631999999999997E-2</v>
      </c>
      <c r="AZ28" s="153">
        <f t="shared" si="58"/>
        <v>9.0517508521846946</v>
      </c>
      <c r="BA28" s="147">
        <f t="shared" si="32"/>
        <v>5.9640482169430262</v>
      </c>
      <c r="BB28" s="147">
        <f t="shared" si="33"/>
        <v>0.98083306800000014</v>
      </c>
      <c r="BC28" s="5">
        <f t="shared" si="34"/>
        <v>6.3523622047244072E-2</v>
      </c>
      <c r="BD28" s="147">
        <f t="shared" si="35"/>
        <v>6.4290288713910737</v>
      </c>
      <c r="BE28" s="5"/>
      <c r="BF28" s="153">
        <f t="shared" si="59"/>
        <v>4.8340459244818924E-2</v>
      </c>
      <c r="BG28" s="153">
        <f t="shared" si="36"/>
        <v>7.1855410373889025E-2</v>
      </c>
      <c r="BH28" s="153"/>
      <c r="BI28" s="463">
        <f t="shared" si="37"/>
        <v>8.1787999999999978E-4</v>
      </c>
      <c r="BJ28" s="463">
        <f t="shared" si="38"/>
        <v>8.3750912000000038E-3</v>
      </c>
      <c r="BK28" s="463">
        <f t="shared" si="39"/>
        <v>3.4619259259259269E-3</v>
      </c>
      <c r="BL28" s="463">
        <f t="shared" si="40"/>
        <v>2.2512245145600015E-2</v>
      </c>
      <c r="BM28">
        <f t="shared" si="41"/>
        <v>5.7999999999999996E-3</v>
      </c>
      <c r="BN28">
        <f t="shared" si="42"/>
        <v>1.0385777777777782E-5</v>
      </c>
      <c r="BO28" s="463">
        <f t="shared" si="43"/>
        <v>4.109414290862131E-2</v>
      </c>
      <c r="BP28" s="147">
        <f t="shared" si="60"/>
        <v>41.094142908621308</v>
      </c>
      <c r="BQ28" s="463">
        <f t="shared" si="44"/>
        <v>1.2730684800000001E-2</v>
      </c>
      <c r="BR28" s="463"/>
      <c r="BT28" s="147">
        <f t="shared" si="61"/>
        <v>12.730684800000001</v>
      </c>
      <c r="BU28" s="463">
        <f t="shared" si="45"/>
        <v>1.8694399999999998E-3</v>
      </c>
      <c r="BV28" s="463">
        <f t="shared" si="46"/>
        <v>4.1099071999999995E-3</v>
      </c>
      <c r="BW28" s="463">
        <f t="shared" si="47"/>
        <v>0</v>
      </c>
      <c r="BX28" s="463">
        <f t="shared" si="48"/>
        <v>6.7000738294153367E-3</v>
      </c>
      <c r="BY28" s="463">
        <f t="shared" si="49"/>
        <v>9.3472000000000034E-3</v>
      </c>
      <c r="BZ28" s="147">
        <f t="shared" si="62"/>
        <v>16.047273829415339</v>
      </c>
      <c r="CA28" s="153">
        <f t="shared" si="63"/>
        <v>6.9872101538036649E-2</v>
      </c>
      <c r="CB28" s="5">
        <f t="shared" si="64"/>
        <v>0.46000000000000008</v>
      </c>
      <c r="CC28" s="153">
        <f t="shared" si="65"/>
        <v>0.86813402454059763</v>
      </c>
      <c r="CD28" s="5">
        <f t="shared" si="66"/>
        <v>86.813402454059769</v>
      </c>
      <c r="CG28" s="59">
        <f t="shared" si="50"/>
        <v>-50</v>
      </c>
      <c r="CH28">
        <f t="shared" si="51"/>
        <v>-50</v>
      </c>
    </row>
    <row r="29" spans="5:86" x14ac:dyDescent="0.25">
      <c r="E29" s="150">
        <v>24</v>
      </c>
      <c r="F29" s="191">
        <f t="shared" si="52"/>
        <v>2.4E-2</v>
      </c>
      <c r="G29" s="191"/>
      <c r="H29" s="191">
        <f t="shared" si="0"/>
        <v>0.48</v>
      </c>
      <c r="I29" s="472">
        <f t="shared" si="1"/>
        <v>20</v>
      </c>
      <c r="J29" s="152">
        <f t="shared" si="2"/>
        <v>20.32</v>
      </c>
      <c r="K29" s="386">
        <f t="shared" si="3"/>
        <v>40.32</v>
      </c>
      <c r="L29" s="386"/>
      <c r="M29" s="191">
        <f t="shared" si="4"/>
        <v>0.50396825396825395</v>
      </c>
      <c r="N29" s="152">
        <f t="shared" si="5"/>
        <v>3.4017857142857144</v>
      </c>
      <c r="O29" s="152">
        <f t="shared" si="53"/>
        <v>0.48</v>
      </c>
      <c r="P29" s="191">
        <f t="shared" si="6"/>
        <v>0.17008928571428572</v>
      </c>
      <c r="Q29" s="191">
        <f t="shared" si="7"/>
        <v>20</v>
      </c>
      <c r="R29" s="191">
        <f t="shared" si="8"/>
        <v>0.18898809523809523</v>
      </c>
      <c r="S29" s="152">
        <f t="shared" si="9"/>
        <v>261.27446534941578</v>
      </c>
      <c r="T29" s="152">
        <f t="shared" si="10"/>
        <v>20</v>
      </c>
      <c r="U29" s="191">
        <f t="shared" si="11"/>
        <v>0.1058267716535433</v>
      </c>
      <c r="V29" s="191">
        <f t="shared" si="12"/>
        <v>0.79370078740157468</v>
      </c>
      <c r="W29" s="191">
        <f t="shared" si="13"/>
        <v>0.78120156240312466</v>
      </c>
      <c r="X29" s="175">
        <f t="shared" si="14"/>
        <v>350</v>
      </c>
      <c r="Y29" s="386">
        <f t="shared" si="54"/>
        <v>350</v>
      </c>
      <c r="AA29" s="191">
        <f t="shared" si="15"/>
        <v>0.19198790627362058</v>
      </c>
      <c r="AB29" s="153">
        <f t="shared" si="16"/>
        <v>1.4172335600907029</v>
      </c>
      <c r="AC29" s="153">
        <f t="shared" si="17"/>
        <v>4.7616048182941621E-2</v>
      </c>
      <c r="AD29" s="153"/>
      <c r="AE29" s="153">
        <f t="shared" si="18"/>
        <v>1.1072834645669289</v>
      </c>
      <c r="AF29" s="317">
        <f t="shared" si="19"/>
        <v>288.99555555555554</v>
      </c>
      <c r="AG29" s="463">
        <f t="shared" si="20"/>
        <v>2.9066190944881887E-2</v>
      </c>
      <c r="AI29" s="153">
        <f t="shared" si="21"/>
        <v>0.14367511852279671</v>
      </c>
      <c r="AJ29" s="153">
        <f t="shared" si="22"/>
        <v>0.15</v>
      </c>
      <c r="AK29" s="153">
        <f t="shared" si="23"/>
        <v>1.1651403174603174</v>
      </c>
      <c r="AM29" s="317">
        <f t="shared" si="24"/>
        <v>24</v>
      </c>
      <c r="AN29" s="147">
        <f t="shared" si="25"/>
        <v>288.99555555555554</v>
      </c>
      <c r="AP29">
        <f t="shared" si="26"/>
        <v>24</v>
      </c>
      <c r="AQ29" s="147">
        <f t="shared" si="27"/>
        <v>288.99555555555554</v>
      </c>
      <c r="AR29" s="147"/>
      <c r="AS29" s="5">
        <f t="shared" si="55"/>
        <v>3.4602608267716537</v>
      </c>
      <c r="AT29" s="5">
        <f t="shared" si="28"/>
        <v>1.1249999999999998</v>
      </c>
      <c r="AU29" s="5">
        <f t="shared" si="56"/>
        <v>2.3352608267716537</v>
      </c>
      <c r="AV29" s="5">
        <f t="shared" si="29"/>
        <v>1.1072834645669289</v>
      </c>
      <c r="AW29" s="153">
        <f t="shared" si="57"/>
        <v>0.32511999999999991</v>
      </c>
      <c r="AX29" s="153">
        <f t="shared" si="30"/>
        <v>0.48767999999999989</v>
      </c>
      <c r="AY29" s="153">
        <f t="shared" si="31"/>
        <v>5.0616000000000008E-2</v>
      </c>
      <c r="AZ29" s="153">
        <f t="shared" si="58"/>
        <v>9.6348980559506838</v>
      </c>
      <c r="BA29" s="147">
        <f t="shared" si="32"/>
        <v>5.9640482169430262</v>
      </c>
      <c r="BB29" s="147">
        <f t="shared" si="33"/>
        <v>1.0648465919999999</v>
      </c>
      <c r="BC29" s="5">
        <f t="shared" si="34"/>
        <v>6.2273622047244091E-2</v>
      </c>
      <c r="BD29" s="147">
        <f t="shared" si="35"/>
        <v>6.3073622047244093</v>
      </c>
      <c r="BE29" s="5"/>
      <c r="BF29" s="153">
        <f t="shared" si="59"/>
        <v>4.9380157958435082E-2</v>
      </c>
      <c r="BG29" s="153">
        <f t="shared" si="36"/>
        <v>7.1144922517351869E-2</v>
      </c>
      <c r="BH29" s="153"/>
      <c r="BI29" s="463">
        <f t="shared" si="37"/>
        <v>8.534399999999998E-4</v>
      </c>
      <c r="BJ29" s="463">
        <f t="shared" si="38"/>
        <v>8.7392255999999991E-3</v>
      </c>
      <c r="BK29" s="463">
        <f t="shared" si="39"/>
        <v>3.6124444444444437E-3</v>
      </c>
      <c r="BL29" s="463">
        <f t="shared" si="40"/>
        <v>2.3491038412800001E-2</v>
      </c>
      <c r="BM29">
        <f t="shared" si="41"/>
        <v>5.7999999999999996E-3</v>
      </c>
      <c r="BN29">
        <f t="shared" si="42"/>
        <v>1.0837333333333332E-5</v>
      </c>
      <c r="BO29" s="463">
        <f t="shared" si="43"/>
        <v>4.2628912525502792E-2</v>
      </c>
      <c r="BP29" s="147">
        <f t="shared" si="60"/>
        <v>42.628912525502791</v>
      </c>
      <c r="BQ29" s="463">
        <f t="shared" si="44"/>
        <v>1.3035062400000002E-2</v>
      </c>
      <c r="BR29" s="463"/>
      <c r="BT29" s="147">
        <f t="shared" si="61"/>
        <v>13.035062400000001</v>
      </c>
      <c r="BU29" s="463">
        <f t="shared" si="45"/>
        <v>1.9507199999999995E-3</v>
      </c>
      <c r="BV29" s="463">
        <f t="shared" si="46"/>
        <v>4.0290336000000015E-3</v>
      </c>
      <c r="BW29" s="463">
        <f t="shared" si="47"/>
        <v>0</v>
      </c>
      <c r="BX29" s="463">
        <f t="shared" si="48"/>
        <v>6.7005294332000082E-3</v>
      </c>
      <c r="BY29" s="463">
        <f t="shared" si="49"/>
        <v>9.7535999999999994E-3</v>
      </c>
      <c r="BZ29" s="147">
        <f t="shared" si="62"/>
        <v>16.454129433200009</v>
      </c>
      <c r="CA29" s="153">
        <f t="shared" si="63"/>
        <v>7.2118104358702792E-2</v>
      </c>
      <c r="CB29" s="5">
        <f t="shared" si="64"/>
        <v>0.48</v>
      </c>
      <c r="CC29" s="153">
        <f t="shared" si="65"/>
        <v>0.86937920747505726</v>
      </c>
      <c r="CD29" s="5">
        <f t="shared" si="66"/>
        <v>86.937920747505729</v>
      </c>
      <c r="CG29" s="59">
        <f t="shared" si="50"/>
        <v>-50</v>
      </c>
      <c r="CH29">
        <f t="shared" si="51"/>
        <v>-50</v>
      </c>
    </row>
    <row r="30" spans="5:86" x14ac:dyDescent="0.25">
      <c r="E30" s="150">
        <v>25</v>
      </c>
      <c r="F30" s="191">
        <f t="shared" si="52"/>
        <v>2.5000000000000001E-2</v>
      </c>
      <c r="G30" s="191"/>
      <c r="H30" s="191">
        <f t="shared" si="0"/>
        <v>0.5</v>
      </c>
      <c r="I30" s="472">
        <f t="shared" si="1"/>
        <v>20</v>
      </c>
      <c r="J30" s="152">
        <f t="shared" si="2"/>
        <v>20.32</v>
      </c>
      <c r="K30" s="386">
        <f t="shared" si="3"/>
        <v>40.32</v>
      </c>
      <c r="L30" s="386"/>
      <c r="M30" s="191">
        <f t="shared" si="4"/>
        <v>0.50396825396825395</v>
      </c>
      <c r="N30" s="152">
        <f t="shared" si="5"/>
        <v>3.4017857142857144</v>
      </c>
      <c r="O30" s="152">
        <f t="shared" si="53"/>
        <v>0.5</v>
      </c>
      <c r="P30" s="191">
        <f t="shared" si="6"/>
        <v>0.17008928571428572</v>
      </c>
      <c r="Q30" s="191">
        <f t="shared" si="7"/>
        <v>20</v>
      </c>
      <c r="R30" s="191">
        <f t="shared" si="8"/>
        <v>0.18898809523809523</v>
      </c>
      <c r="S30" s="152">
        <f t="shared" si="9"/>
        <v>250.02556466302335</v>
      </c>
      <c r="T30" s="152">
        <f t="shared" si="10"/>
        <v>20</v>
      </c>
      <c r="U30" s="191">
        <f t="shared" si="11"/>
        <v>0.11023622047244094</v>
      </c>
      <c r="V30" s="191">
        <f t="shared" si="12"/>
        <v>0.82677165354330684</v>
      </c>
      <c r="W30" s="191">
        <f t="shared" si="13"/>
        <v>0.8137516275032548</v>
      </c>
      <c r="X30" s="175">
        <f t="shared" si="14"/>
        <v>350</v>
      </c>
      <c r="Y30" s="386">
        <f t="shared" si="54"/>
        <v>350</v>
      </c>
      <c r="AA30" s="191">
        <f t="shared" si="15"/>
        <v>0.19198790627362058</v>
      </c>
      <c r="AB30" s="153">
        <f t="shared" si="16"/>
        <v>1.4172335600907029</v>
      </c>
      <c r="AC30" s="153">
        <f t="shared" si="17"/>
        <v>4.7616048182941621E-2</v>
      </c>
      <c r="AD30" s="153"/>
      <c r="AE30" s="153">
        <f t="shared" si="18"/>
        <v>1.1072834645669289</v>
      </c>
      <c r="AF30" s="317">
        <f t="shared" si="19"/>
        <v>301.03703703703707</v>
      </c>
      <c r="AG30" s="463">
        <f t="shared" si="20"/>
        <v>2.9066190944881887E-2</v>
      </c>
      <c r="AI30" s="153">
        <f t="shared" si="21"/>
        <v>0.14663780379781166</v>
      </c>
      <c r="AJ30" s="153">
        <f t="shared" si="22"/>
        <v>0.15</v>
      </c>
      <c r="AK30" s="153">
        <f t="shared" si="23"/>
        <v>1.172021164021164</v>
      </c>
      <c r="AM30" s="317">
        <f t="shared" si="24"/>
        <v>25</v>
      </c>
      <c r="AN30" s="147">
        <f t="shared" si="25"/>
        <v>301.03703703703707</v>
      </c>
      <c r="AP30">
        <f t="shared" si="26"/>
        <v>25</v>
      </c>
      <c r="AQ30" s="147">
        <f t="shared" si="27"/>
        <v>301.03703703703707</v>
      </c>
      <c r="AR30" s="147"/>
      <c r="AS30" s="5">
        <f t="shared" si="55"/>
        <v>3.3218503937007871</v>
      </c>
      <c r="AT30" s="5">
        <f t="shared" si="28"/>
        <v>1.1249999999999998</v>
      </c>
      <c r="AU30" s="5">
        <f t="shared" si="56"/>
        <v>2.1968503937007871</v>
      </c>
      <c r="AV30" s="5">
        <f t="shared" si="29"/>
        <v>1.1072834645669289</v>
      </c>
      <c r="AW30" s="153">
        <f t="shared" si="57"/>
        <v>0.33866666666666662</v>
      </c>
      <c r="AX30" s="153">
        <f t="shared" si="30"/>
        <v>0.50800000000000001</v>
      </c>
      <c r="AY30" s="153">
        <f t="shared" si="31"/>
        <v>4.9599999999999998E-2</v>
      </c>
      <c r="AZ30" s="153">
        <f t="shared" si="58"/>
        <v>10.241935483870968</v>
      </c>
      <c r="BA30" s="147">
        <f t="shared" si="32"/>
        <v>5.9640482169430262</v>
      </c>
      <c r="BB30" s="147">
        <f t="shared" si="33"/>
        <v>1.1523075</v>
      </c>
      <c r="BC30" s="5">
        <f t="shared" si="34"/>
        <v>6.102362204724409E-2</v>
      </c>
      <c r="BD30" s="147">
        <f t="shared" si="35"/>
        <v>6.1856955380577432</v>
      </c>
      <c r="BE30" s="5"/>
      <c r="BF30" s="153">
        <f t="shared" si="59"/>
        <v>5.0398412673416604E-2</v>
      </c>
      <c r="BG30" s="153">
        <f t="shared" si="36"/>
        <v>7.0427267446636035E-2</v>
      </c>
      <c r="BH30" s="153"/>
      <c r="BI30" s="463">
        <f t="shared" si="37"/>
        <v>8.8899999999999971E-4</v>
      </c>
      <c r="BJ30" s="463">
        <f t="shared" si="38"/>
        <v>9.1033600000000013E-3</v>
      </c>
      <c r="BK30" s="463">
        <f t="shared" si="39"/>
        <v>3.7629629629629632E-3</v>
      </c>
      <c r="BL30" s="463">
        <f t="shared" si="40"/>
        <v>2.4469831680000009E-2</v>
      </c>
      <c r="BM30">
        <f t="shared" si="41"/>
        <v>5.7999999999999996E-3</v>
      </c>
      <c r="BN30">
        <f t="shared" si="42"/>
        <v>1.1288888888888889E-5</v>
      </c>
      <c r="BO30" s="463">
        <f t="shared" si="43"/>
        <v>4.4163702284382399E-2</v>
      </c>
      <c r="BP30" s="147">
        <f t="shared" si="60"/>
        <v>44.163702284382396</v>
      </c>
      <c r="BQ30" s="463">
        <f t="shared" si="44"/>
        <v>1.3339440000000003E-2</v>
      </c>
      <c r="BR30" s="463"/>
      <c r="BT30" s="147">
        <f t="shared" si="61"/>
        <v>13.339440000000003</v>
      </c>
      <c r="BU30" s="463">
        <f t="shared" si="45"/>
        <v>2.0319999999999995E-3</v>
      </c>
      <c r="BV30" s="463">
        <f t="shared" si="46"/>
        <v>3.94816E-3</v>
      </c>
      <c r="BW30" s="463">
        <f t="shared" si="47"/>
        <v>0</v>
      </c>
      <c r="BX30" s="463">
        <f t="shared" si="48"/>
        <v>6.7009850370143174E-3</v>
      </c>
      <c r="BY30" s="463">
        <f t="shared" si="49"/>
        <v>1.0160000000000001E-2</v>
      </c>
      <c r="BZ30" s="147">
        <f t="shared" si="62"/>
        <v>16.860985037014316</v>
      </c>
      <c r="CA30" s="153">
        <f t="shared" si="63"/>
        <v>7.4364127321396717E-2</v>
      </c>
      <c r="CB30" s="5">
        <f t="shared" si="64"/>
        <v>0.5</v>
      </c>
      <c r="CC30" s="153">
        <f t="shared" si="65"/>
        <v>0.87052790419171699</v>
      </c>
      <c r="CD30" s="5">
        <f t="shared" si="66"/>
        <v>87.0527904191717</v>
      </c>
      <c r="CG30" s="59">
        <f t="shared" si="50"/>
        <v>-50</v>
      </c>
      <c r="CH30">
        <f t="shared" si="51"/>
        <v>-50</v>
      </c>
    </row>
    <row r="31" spans="5:86" x14ac:dyDescent="0.25">
      <c r="E31" s="150">
        <v>26</v>
      </c>
      <c r="F31" s="191">
        <f t="shared" si="52"/>
        <v>2.6000000000000002E-2</v>
      </c>
      <c r="G31" s="191"/>
      <c r="H31" s="191">
        <f t="shared" si="0"/>
        <v>0.52</v>
      </c>
      <c r="I31" s="472">
        <f t="shared" si="1"/>
        <v>20</v>
      </c>
      <c r="J31" s="152">
        <f t="shared" si="2"/>
        <v>20.32</v>
      </c>
      <c r="K31" s="386">
        <f t="shared" si="3"/>
        <v>40.32</v>
      </c>
      <c r="L31" s="386"/>
      <c r="M31" s="191">
        <f t="shared" si="4"/>
        <v>0.50396825396825395</v>
      </c>
      <c r="N31" s="152">
        <f t="shared" si="5"/>
        <v>3.4017857142857144</v>
      </c>
      <c r="O31" s="152">
        <f t="shared" si="53"/>
        <v>0.52</v>
      </c>
      <c r="P31" s="191">
        <f t="shared" si="6"/>
        <v>0.17008928571428572</v>
      </c>
      <c r="Q31" s="191">
        <f t="shared" si="7"/>
        <v>20</v>
      </c>
      <c r="R31" s="191">
        <f t="shared" si="8"/>
        <v>0.18898809523809523</v>
      </c>
      <c r="S31" s="152">
        <f t="shared" si="9"/>
        <v>239.64205549877363</v>
      </c>
      <c r="T31" s="152">
        <f t="shared" si="10"/>
        <v>20</v>
      </c>
      <c r="U31" s="191">
        <f t="shared" si="11"/>
        <v>0.11464566929133858</v>
      </c>
      <c r="V31" s="191">
        <f t="shared" si="12"/>
        <v>0.85984251968503933</v>
      </c>
      <c r="W31" s="191">
        <f t="shared" si="13"/>
        <v>0.84630169260338517</v>
      </c>
      <c r="X31" s="175">
        <f t="shared" si="14"/>
        <v>350</v>
      </c>
      <c r="Y31" s="386">
        <f t="shared" si="54"/>
        <v>350</v>
      </c>
      <c r="AA31" s="191">
        <f t="shared" si="15"/>
        <v>0.19198790627362058</v>
      </c>
      <c r="AB31" s="153">
        <f t="shared" si="16"/>
        <v>1.4172335600907029</v>
      </c>
      <c r="AC31" s="153">
        <f t="shared" si="17"/>
        <v>4.7616048182941621E-2</v>
      </c>
      <c r="AD31" s="153"/>
      <c r="AE31" s="153">
        <f t="shared" si="18"/>
        <v>1.1072834645669289</v>
      </c>
      <c r="AF31" s="317">
        <f t="shared" si="19"/>
        <v>313.07851851851854</v>
      </c>
      <c r="AG31" s="463">
        <f t="shared" si="20"/>
        <v>2.9066190944881887E-2</v>
      </c>
      <c r="AI31" s="153">
        <f t="shared" si="21"/>
        <v>0.14954180459908636</v>
      </c>
      <c r="AJ31" s="153">
        <f t="shared" si="22"/>
        <v>0.15</v>
      </c>
      <c r="AK31" s="153">
        <f t="shared" si="23"/>
        <v>1.1789020105820107</v>
      </c>
      <c r="AM31" s="317">
        <f t="shared" si="24"/>
        <v>26.000000000000004</v>
      </c>
      <c r="AN31" s="147">
        <f t="shared" si="25"/>
        <v>313.07851851851854</v>
      </c>
      <c r="AP31">
        <f t="shared" si="26"/>
        <v>26.000000000000004</v>
      </c>
      <c r="AQ31" s="147">
        <f t="shared" si="27"/>
        <v>313.07851851851854</v>
      </c>
      <c r="AR31" s="147"/>
      <c r="AS31" s="5">
        <f t="shared" si="55"/>
        <v>3.1940869170199879</v>
      </c>
      <c r="AT31" s="5">
        <f t="shared" si="28"/>
        <v>1.1249999999999998</v>
      </c>
      <c r="AU31" s="5">
        <f t="shared" si="56"/>
        <v>2.0690869170199884</v>
      </c>
      <c r="AV31" s="5">
        <f t="shared" si="29"/>
        <v>1.1072834645669289</v>
      </c>
      <c r="AW31" s="153">
        <f t="shared" si="57"/>
        <v>0.35221333333333327</v>
      </c>
      <c r="AX31" s="153">
        <f t="shared" si="30"/>
        <v>0.52832000000000001</v>
      </c>
      <c r="AY31" s="153">
        <f t="shared" si="31"/>
        <v>4.8584000000000002E-2</v>
      </c>
      <c r="AZ31" s="153">
        <f t="shared" si="58"/>
        <v>10.87436192985345</v>
      </c>
      <c r="BA31" s="147">
        <f t="shared" si="32"/>
        <v>5.9640482169430262</v>
      </c>
      <c r="BB31" s="147">
        <f t="shared" si="33"/>
        <v>1.2432157920000002</v>
      </c>
      <c r="BC31" s="5">
        <f t="shared" si="34"/>
        <v>5.977362204724411E-2</v>
      </c>
      <c r="BD31" s="147">
        <f t="shared" si="35"/>
        <v>6.064028871391077</v>
      </c>
      <c r="BE31" s="5"/>
      <c r="BF31" s="153">
        <f t="shared" si="59"/>
        <v>5.1396497935170635E-2</v>
      </c>
      <c r="BG31" s="153">
        <f t="shared" si="36"/>
        <v>6.9702223780880909E-2</v>
      </c>
      <c r="BH31" s="153"/>
      <c r="BI31" s="463">
        <f t="shared" si="37"/>
        <v>9.2455999999999962E-4</v>
      </c>
      <c r="BJ31" s="463">
        <f t="shared" si="38"/>
        <v>9.4674944E-3</v>
      </c>
      <c r="BK31" s="463">
        <f t="shared" si="39"/>
        <v>3.9134814814814813E-3</v>
      </c>
      <c r="BL31" s="463">
        <f t="shared" si="40"/>
        <v>2.5448624947200005E-2</v>
      </c>
      <c r="BM31">
        <f t="shared" si="41"/>
        <v>5.7999999999999996E-3</v>
      </c>
      <c r="BN31">
        <f t="shared" si="42"/>
        <v>1.1740444444444444E-5</v>
      </c>
      <c r="BO31" s="463">
        <f t="shared" si="43"/>
        <v>4.5698512185656598E-2</v>
      </c>
      <c r="BP31" s="147">
        <f t="shared" si="60"/>
        <v>45.698512185656597</v>
      </c>
      <c r="BQ31" s="463">
        <f t="shared" si="44"/>
        <v>1.3643817600000002E-2</v>
      </c>
      <c r="BR31" s="463"/>
      <c r="BT31" s="147">
        <f t="shared" si="61"/>
        <v>13.643817600000002</v>
      </c>
      <c r="BU31" s="463">
        <f t="shared" si="45"/>
        <v>2.1132799999999995E-3</v>
      </c>
      <c r="BV31" s="463">
        <f t="shared" si="46"/>
        <v>3.8672864000000007E-3</v>
      </c>
      <c r="BW31" s="463">
        <f t="shared" si="47"/>
        <v>0</v>
      </c>
      <c r="BX31" s="463">
        <f t="shared" si="48"/>
        <v>6.7014406408582652E-3</v>
      </c>
      <c r="BY31" s="463">
        <f t="shared" si="49"/>
        <v>1.0566400000000002E-2</v>
      </c>
      <c r="BZ31" s="147">
        <f t="shared" si="62"/>
        <v>17.267840640858267</v>
      </c>
      <c r="CA31" s="153">
        <f t="shared" si="63"/>
        <v>7.661017042651487E-2</v>
      </c>
      <c r="CB31" s="5">
        <f t="shared" si="64"/>
        <v>0.52</v>
      </c>
      <c r="CC31" s="153">
        <f t="shared" si="65"/>
        <v>0.87159090772497816</v>
      </c>
      <c r="CD31" s="5">
        <f t="shared" si="66"/>
        <v>87.159090772497819</v>
      </c>
      <c r="CG31" s="59">
        <f t="shared" si="50"/>
        <v>-50</v>
      </c>
      <c r="CH31">
        <f t="shared" si="51"/>
        <v>-50</v>
      </c>
    </row>
    <row r="32" spans="5:86" x14ac:dyDescent="0.25">
      <c r="E32" s="150">
        <v>27</v>
      </c>
      <c r="F32" s="191">
        <f t="shared" si="52"/>
        <v>2.7000000000000003E-2</v>
      </c>
      <c r="G32" s="191"/>
      <c r="H32" s="191">
        <f t="shared" si="0"/>
        <v>0.54</v>
      </c>
      <c r="I32" s="472">
        <f t="shared" si="1"/>
        <v>20</v>
      </c>
      <c r="J32" s="152">
        <f t="shared" si="2"/>
        <v>20.32</v>
      </c>
      <c r="K32" s="386">
        <f t="shared" si="3"/>
        <v>40.32</v>
      </c>
      <c r="L32" s="386"/>
      <c r="M32" s="191">
        <f t="shared" si="4"/>
        <v>0.50396825396825395</v>
      </c>
      <c r="N32" s="152">
        <f t="shared" si="5"/>
        <v>3.4017857142857144</v>
      </c>
      <c r="O32" s="152">
        <f t="shared" si="53"/>
        <v>0.54</v>
      </c>
      <c r="P32" s="191">
        <f t="shared" si="6"/>
        <v>0.17008928571428572</v>
      </c>
      <c r="Q32" s="191">
        <f t="shared" si="7"/>
        <v>20</v>
      </c>
      <c r="R32" s="191">
        <f t="shared" si="8"/>
        <v>0.18898809523809523</v>
      </c>
      <c r="S32" s="152">
        <f t="shared" si="9"/>
        <v>230.0277840745276</v>
      </c>
      <c r="T32" s="152">
        <f t="shared" si="10"/>
        <v>20</v>
      </c>
      <c r="U32" s="191">
        <f t="shared" si="11"/>
        <v>0.11905511811023624</v>
      </c>
      <c r="V32" s="191">
        <f t="shared" si="12"/>
        <v>0.89291338582677171</v>
      </c>
      <c r="W32" s="191">
        <f t="shared" si="13"/>
        <v>0.87885175770351542</v>
      </c>
      <c r="X32" s="175">
        <f t="shared" si="14"/>
        <v>350</v>
      </c>
      <c r="Y32" s="386">
        <f t="shared" si="54"/>
        <v>350</v>
      </c>
      <c r="AA32" s="191">
        <f t="shared" si="15"/>
        <v>0.19198790627362058</v>
      </c>
      <c r="AB32" s="153">
        <f t="shared" si="16"/>
        <v>1.4172335600907029</v>
      </c>
      <c r="AC32" s="153">
        <f t="shared" si="17"/>
        <v>4.7616048182941621E-2</v>
      </c>
      <c r="AD32" s="153"/>
      <c r="AE32" s="153">
        <f t="shared" si="18"/>
        <v>1.1072834645669289</v>
      </c>
      <c r="AF32" s="317">
        <f t="shared" si="19"/>
        <v>325.12000000000006</v>
      </c>
      <c r="AG32" s="463">
        <f t="shared" si="20"/>
        <v>2.9066190944881887E-2</v>
      </c>
      <c r="AI32" s="153">
        <f t="shared" si="21"/>
        <v>0.15239047589287577</v>
      </c>
      <c r="AJ32" s="153">
        <f t="shared" si="22"/>
        <v>0.15239047589287577</v>
      </c>
      <c r="AK32" s="153">
        <f t="shared" si="23"/>
        <v>1.1857828571428572</v>
      </c>
      <c r="AM32" s="317">
        <f t="shared" si="24"/>
        <v>27.000000000000004</v>
      </c>
      <c r="AN32" s="147">
        <f t="shared" si="25"/>
        <v>325.12000000000006</v>
      </c>
      <c r="AP32">
        <f t="shared" si="26"/>
        <v>27.000000000000004</v>
      </c>
      <c r="AQ32" s="147">
        <f t="shared" si="27"/>
        <v>325.12000000000006</v>
      </c>
      <c r="AR32" s="147"/>
      <c r="AS32" s="5">
        <f t="shared" si="55"/>
        <v>3.0757874015748023</v>
      </c>
      <c r="AT32" s="5">
        <f t="shared" si="28"/>
        <v>1.1429285691965683</v>
      </c>
      <c r="AU32" s="5">
        <f t="shared" si="56"/>
        <v>1.9328588323782341</v>
      </c>
      <c r="AV32" s="5">
        <f t="shared" si="29"/>
        <v>1.1249296940911104</v>
      </c>
      <c r="AW32" s="153">
        <f t="shared" si="57"/>
        <v>0.37158893641718838</v>
      </c>
      <c r="AX32" s="153">
        <f t="shared" si="30"/>
        <v>0.56626614857142887</v>
      </c>
      <c r="AY32" s="153">
        <f t="shared" si="31"/>
        <v>4.788193051786644E-2</v>
      </c>
      <c r="AZ32" s="153">
        <f t="shared" si="58"/>
        <v>11.826301538951839</v>
      </c>
      <c r="BA32" s="147">
        <f t="shared" si="32"/>
        <v>5.9640482169430262</v>
      </c>
      <c r="BB32" s="147">
        <f t="shared" si="33"/>
        <v>1.3375714679999997</v>
      </c>
      <c r="BC32" s="5">
        <f t="shared" si="34"/>
        <v>5.7985764971347019E-2</v>
      </c>
      <c r="BD32" s="147">
        <f t="shared" si="35"/>
        <v>5.8885764971347028</v>
      </c>
      <c r="BE32" s="5"/>
      <c r="BF32" s="153">
        <f t="shared" si="59"/>
        <v>5.3632567177920899E-2</v>
      </c>
      <c r="BG32" s="153">
        <f t="shared" si="36"/>
        <v>6.9745968477455289E-2</v>
      </c>
      <c r="BH32" s="153"/>
      <c r="BI32" s="463">
        <f t="shared" si="37"/>
        <v>1.0067582917329693E-3</v>
      </c>
      <c r="BJ32" s="463">
        <f t="shared" si="38"/>
        <v>9.9883106108940231E-3</v>
      </c>
      <c r="BK32" s="463">
        <f t="shared" si="39"/>
        <v>4.0640000000000008E-3</v>
      </c>
      <c r="BL32" s="463">
        <f t="shared" si="40"/>
        <v>2.6427418214400009E-2</v>
      </c>
      <c r="BM32">
        <f t="shared" si="41"/>
        <v>5.7999999999999996E-3</v>
      </c>
      <c r="BN32">
        <f t="shared" si="42"/>
        <v>1.2192000000000001E-5</v>
      </c>
      <c r="BO32" s="463">
        <f t="shared" si="43"/>
        <v>4.7443403951849365E-2</v>
      </c>
      <c r="BP32" s="147">
        <f t="shared" si="60"/>
        <v>47.443403951849362</v>
      </c>
      <c r="BQ32" s="463">
        <f t="shared" si="44"/>
        <v>1.4030478090807657E-2</v>
      </c>
      <c r="BR32" s="463"/>
      <c r="BT32" s="147">
        <f t="shared" si="61"/>
        <v>14.030478090807657</v>
      </c>
      <c r="BU32" s="463">
        <f t="shared" si="45"/>
        <v>2.3011618096753588E-3</v>
      </c>
      <c r="BV32" s="463">
        <f t="shared" si="46"/>
        <v>3.872142094611117E-3</v>
      </c>
      <c r="BW32" s="463">
        <f t="shared" si="47"/>
        <v>0</v>
      </c>
      <c r="BX32" s="463">
        <f t="shared" si="48"/>
        <v>6.9175166874228073E-3</v>
      </c>
      <c r="BY32" s="463">
        <f t="shared" si="49"/>
        <v>1.132532297142858E-2</v>
      </c>
      <c r="BZ32" s="147">
        <f t="shared" si="62"/>
        <v>18.242839658851388</v>
      </c>
      <c r="CA32" s="153">
        <f t="shared" si="63"/>
        <v>7.9716721701508411E-2</v>
      </c>
      <c r="CB32" s="5">
        <f t="shared" si="64"/>
        <v>0.54</v>
      </c>
      <c r="CC32" s="153">
        <f t="shared" si="65"/>
        <v>0.8713658694207308</v>
      </c>
      <c r="CD32" s="5">
        <f t="shared" si="66"/>
        <v>87.13658694207308</v>
      </c>
      <c r="CG32" s="59">
        <f t="shared" si="50"/>
        <v>-50</v>
      </c>
      <c r="CH32">
        <f t="shared" si="51"/>
        <v>-50</v>
      </c>
    </row>
    <row r="33" spans="5:86" x14ac:dyDescent="0.25">
      <c r="E33" s="150">
        <v>28</v>
      </c>
      <c r="F33" s="191">
        <f t="shared" si="52"/>
        <v>2.8000000000000004E-2</v>
      </c>
      <c r="G33" s="191"/>
      <c r="H33" s="191">
        <f t="shared" si="0"/>
        <v>0.56000000000000005</v>
      </c>
      <c r="I33" s="472">
        <f t="shared" si="1"/>
        <v>20</v>
      </c>
      <c r="J33" s="152">
        <f t="shared" si="2"/>
        <v>20.32</v>
      </c>
      <c r="K33" s="386">
        <f t="shared" si="3"/>
        <v>40.32</v>
      </c>
      <c r="L33" s="386"/>
      <c r="M33" s="191">
        <f t="shared" si="4"/>
        <v>0.50396825396825395</v>
      </c>
      <c r="N33" s="152">
        <f t="shared" si="5"/>
        <v>3.4017857142857144</v>
      </c>
      <c r="O33" s="152">
        <f t="shared" si="53"/>
        <v>0.56000000000000005</v>
      </c>
      <c r="P33" s="191">
        <f t="shared" si="6"/>
        <v>0.17008928571428572</v>
      </c>
      <c r="Q33" s="191">
        <f t="shared" si="7"/>
        <v>20</v>
      </c>
      <c r="R33" s="191">
        <f t="shared" si="8"/>
        <v>0.18898809523809523</v>
      </c>
      <c r="S33" s="152">
        <f t="shared" si="9"/>
        <v>221.10033287265944</v>
      </c>
      <c r="T33" s="152">
        <f t="shared" si="10"/>
        <v>20</v>
      </c>
      <c r="U33" s="191">
        <f t="shared" si="11"/>
        <v>0.12346456692913388</v>
      </c>
      <c r="V33" s="191">
        <f t="shared" si="12"/>
        <v>0.92598425196850409</v>
      </c>
      <c r="W33" s="191">
        <f t="shared" si="13"/>
        <v>0.91140182280364568</v>
      </c>
      <c r="X33" s="175">
        <f t="shared" si="14"/>
        <v>350</v>
      </c>
      <c r="Y33" s="386">
        <f t="shared" si="54"/>
        <v>350</v>
      </c>
      <c r="AA33" s="191">
        <f t="shared" si="15"/>
        <v>0.19198790627362058</v>
      </c>
      <c r="AB33" s="153">
        <f t="shared" si="16"/>
        <v>1.4172335600907029</v>
      </c>
      <c r="AC33" s="153">
        <f t="shared" si="17"/>
        <v>4.7616048182941621E-2</v>
      </c>
      <c r="AD33" s="153"/>
      <c r="AE33" s="153">
        <f t="shared" si="18"/>
        <v>1.1072834645669289</v>
      </c>
      <c r="AF33" s="317">
        <f t="shared" si="19"/>
        <v>337.16148148148159</v>
      </c>
      <c r="AG33" s="463">
        <f t="shared" si="20"/>
        <v>2.9066190944881887E-2</v>
      </c>
      <c r="AI33" s="153">
        <f t="shared" si="21"/>
        <v>0.15518686465987697</v>
      </c>
      <c r="AJ33" s="153">
        <f t="shared" si="22"/>
        <v>0.15518686465987697</v>
      </c>
      <c r="AK33" s="153">
        <f t="shared" si="23"/>
        <v>1.1926637037037038</v>
      </c>
      <c r="AM33" s="317">
        <f t="shared" si="24"/>
        <v>28.000000000000004</v>
      </c>
      <c r="AN33" s="147">
        <f t="shared" si="25"/>
        <v>337.16148148148159</v>
      </c>
      <c r="AP33">
        <f t="shared" si="26"/>
        <v>28.000000000000004</v>
      </c>
      <c r="AQ33" s="147">
        <f t="shared" si="27"/>
        <v>337.16148148148159</v>
      </c>
      <c r="AR33" s="147"/>
      <c r="AS33" s="5">
        <f t="shared" si="55"/>
        <v>2.9659378515185595</v>
      </c>
      <c r="AT33" s="5">
        <f t="shared" si="28"/>
        <v>1.163901484949077</v>
      </c>
      <c r="AU33" s="5">
        <f t="shared" si="56"/>
        <v>1.8020363665694825</v>
      </c>
      <c r="AV33" s="5">
        <f t="shared" si="29"/>
        <v>1.1455723277057845</v>
      </c>
      <c r="AW33" s="153">
        <f t="shared" si="57"/>
        <v>0.39242274896392709</v>
      </c>
      <c r="AX33" s="153">
        <f t="shared" si="30"/>
        <v>0.60898856032921844</v>
      </c>
      <c r="AY33" s="153">
        <f t="shared" si="31"/>
        <v>4.7144004313477567E-2</v>
      </c>
      <c r="AZ33" s="153">
        <f t="shared" si="58"/>
        <v>12.917624822020482</v>
      </c>
      <c r="BA33" s="147">
        <f t="shared" si="32"/>
        <v>5.9640482169430262</v>
      </c>
      <c r="BB33" s="147">
        <f t="shared" si="33"/>
        <v>1.4353745280000003</v>
      </c>
      <c r="BC33" s="5">
        <f t="shared" si="34"/>
        <v>5.6063353626606124E-2</v>
      </c>
      <c r="BD33" s="147">
        <f t="shared" si="35"/>
        <v>5.6996686959939451</v>
      </c>
      <c r="BE33" s="5"/>
      <c r="BF33" s="153">
        <f t="shared" si="59"/>
        <v>5.6126946971789972E-2</v>
      </c>
      <c r="BG33" s="153">
        <f t="shared" si="36"/>
        <v>6.9838529083977224E-2</v>
      </c>
      <c r="BH33" s="153"/>
      <c r="BI33" s="463">
        <f t="shared" si="37"/>
        <v>1.1025819617309432E-3</v>
      </c>
      <c r="BJ33" s="463">
        <f t="shared" si="38"/>
        <v>1.0548323492150366E-2</v>
      </c>
      <c r="BK33" s="463">
        <f t="shared" si="39"/>
        <v>4.2145185185185194E-3</v>
      </c>
      <c r="BL33" s="463">
        <f t="shared" si="40"/>
        <v>2.7406211481600017E-2</v>
      </c>
      <c r="BM33">
        <f t="shared" si="41"/>
        <v>5.7999999999999996E-3</v>
      </c>
      <c r="BN33">
        <f t="shared" si="42"/>
        <v>1.264355555555556E-5</v>
      </c>
      <c r="BO33" s="463">
        <f t="shared" si="43"/>
        <v>4.924314492870481E-2</v>
      </c>
      <c r="BP33" s="147">
        <f t="shared" si="60"/>
        <v>49.243144928704808</v>
      </c>
      <c r="BQ33" s="463">
        <f t="shared" si="44"/>
        <v>1.4422348990484741E-2</v>
      </c>
      <c r="BR33" s="463"/>
      <c r="BT33" s="147">
        <f t="shared" si="61"/>
        <v>14.422348990484741</v>
      </c>
      <c r="BU33" s="463">
        <f t="shared" si="45"/>
        <v>2.5201873410992991E-3</v>
      </c>
      <c r="BV33" s="463">
        <f t="shared" si="46"/>
        <v>3.8824264351123719E-3</v>
      </c>
      <c r="BW33" s="463">
        <f t="shared" si="47"/>
        <v>0</v>
      </c>
      <c r="BX33" s="463">
        <f t="shared" si="48"/>
        <v>7.1746023259723606E-3</v>
      </c>
      <c r="BY33" s="463">
        <f t="shared" si="49"/>
        <v>1.217977120658437E-2</v>
      </c>
      <c r="BZ33" s="147">
        <f t="shared" si="62"/>
        <v>19.354373532556728</v>
      </c>
      <c r="CA33" s="153">
        <f t="shared" si="63"/>
        <v>8.3019867451746276E-2</v>
      </c>
      <c r="CB33" s="5">
        <f t="shared" si="64"/>
        <v>0.56000000000000005</v>
      </c>
      <c r="CC33" s="153">
        <f t="shared" si="65"/>
        <v>0.87089066504158008</v>
      </c>
      <c r="CD33" s="5">
        <f t="shared" si="66"/>
        <v>87.089066504158012</v>
      </c>
      <c r="CG33" s="59">
        <f t="shared" si="50"/>
        <v>-50</v>
      </c>
      <c r="CH33">
        <f t="shared" si="51"/>
        <v>-50</v>
      </c>
    </row>
    <row r="34" spans="5:86" x14ac:dyDescent="0.25">
      <c r="E34" s="150">
        <v>29</v>
      </c>
      <c r="F34" s="191">
        <f t="shared" si="52"/>
        <v>2.8999999999999998E-2</v>
      </c>
      <c r="G34" s="191"/>
      <c r="H34" s="191">
        <f t="shared" si="0"/>
        <v>0.57999999999999996</v>
      </c>
      <c r="I34" s="472">
        <f t="shared" si="1"/>
        <v>20</v>
      </c>
      <c r="J34" s="152">
        <f t="shared" si="2"/>
        <v>20.32</v>
      </c>
      <c r="K34" s="386">
        <f t="shared" si="3"/>
        <v>40.32</v>
      </c>
      <c r="L34" s="386"/>
      <c r="M34" s="191">
        <f t="shared" si="4"/>
        <v>0.50396825396825395</v>
      </c>
      <c r="N34" s="152">
        <f t="shared" si="5"/>
        <v>3.4017857142857144</v>
      </c>
      <c r="O34" s="152">
        <f t="shared" si="53"/>
        <v>0.57999999999999996</v>
      </c>
      <c r="P34" s="191">
        <f t="shared" si="6"/>
        <v>0.17008928571428572</v>
      </c>
      <c r="Q34" s="191">
        <f t="shared" si="7"/>
        <v>20</v>
      </c>
      <c r="R34" s="191">
        <f t="shared" si="8"/>
        <v>0.18898809523809523</v>
      </c>
      <c r="S34" s="152">
        <f t="shared" si="9"/>
        <v>212.78865231873436</v>
      </c>
      <c r="T34" s="152">
        <f t="shared" si="10"/>
        <v>20</v>
      </c>
      <c r="U34" s="191">
        <f t="shared" si="11"/>
        <v>0.12787401574803148</v>
      </c>
      <c r="V34" s="191">
        <f t="shared" si="12"/>
        <v>0.95905511811023592</v>
      </c>
      <c r="W34" s="191">
        <f t="shared" si="13"/>
        <v>0.94395188790377549</v>
      </c>
      <c r="X34" s="175">
        <f t="shared" si="14"/>
        <v>350</v>
      </c>
      <c r="Y34" s="386">
        <f t="shared" si="54"/>
        <v>350</v>
      </c>
      <c r="AA34" s="191">
        <f t="shared" si="15"/>
        <v>0.19198790627362058</v>
      </c>
      <c r="AB34" s="153">
        <f t="shared" si="16"/>
        <v>1.4172335600907029</v>
      </c>
      <c r="AC34" s="153">
        <f t="shared" si="17"/>
        <v>4.7616048182941621E-2</v>
      </c>
      <c r="AD34" s="153"/>
      <c r="AE34" s="153">
        <f t="shared" si="18"/>
        <v>1.1072834645669289</v>
      </c>
      <c r="AF34" s="317">
        <f t="shared" si="19"/>
        <v>349.202962962963</v>
      </c>
      <c r="AG34" s="463">
        <f t="shared" si="20"/>
        <v>2.9066190944881887E-2</v>
      </c>
      <c r="AI34" s="153">
        <f t="shared" si="21"/>
        <v>0.15793374808149394</v>
      </c>
      <c r="AJ34" s="153">
        <f t="shared" si="22"/>
        <v>0.15793374808149394</v>
      </c>
      <c r="AK34" s="153">
        <f t="shared" si="23"/>
        <v>1.1995445502645503</v>
      </c>
      <c r="AM34" s="317">
        <f t="shared" si="24"/>
        <v>28.999999999999996</v>
      </c>
      <c r="AN34" s="147">
        <f t="shared" si="25"/>
        <v>349.202962962963</v>
      </c>
      <c r="AP34">
        <f t="shared" si="26"/>
        <v>28.999999999999996</v>
      </c>
      <c r="AQ34" s="147">
        <f t="shared" si="27"/>
        <v>349.202962962963</v>
      </c>
      <c r="AR34" s="147"/>
      <c r="AS34" s="5">
        <f t="shared" si="55"/>
        <v>2.8636641325006784</v>
      </c>
      <c r="AT34" s="5">
        <f t="shared" si="28"/>
        <v>1.1845031106112045</v>
      </c>
      <c r="AU34" s="5">
        <f t="shared" si="56"/>
        <v>1.6791610218894739</v>
      </c>
      <c r="AV34" s="5">
        <f t="shared" si="29"/>
        <v>1.1658495183181146</v>
      </c>
      <c r="AW34" s="153">
        <f t="shared" si="57"/>
        <v>0.4136319958642789</v>
      </c>
      <c r="AX34" s="153">
        <f t="shared" si="30"/>
        <v>0.65326451433274568</v>
      </c>
      <c r="AY34" s="153">
        <f t="shared" si="31"/>
        <v>4.6303648324109686E-2</v>
      </c>
      <c r="AZ34" s="153">
        <f t="shared" si="58"/>
        <v>14.108273062202739</v>
      </c>
      <c r="BA34" s="147">
        <f t="shared" si="32"/>
        <v>5.9640482169430262</v>
      </c>
      <c r="BB34" s="147">
        <f t="shared" si="33"/>
        <v>1.5366249719999996</v>
      </c>
      <c r="BC34" s="5">
        <f t="shared" si="34"/>
        <v>5.4106299594216381E-2</v>
      </c>
      <c r="BD34" s="147">
        <f t="shared" si="35"/>
        <v>5.5072966260883049</v>
      </c>
      <c r="BE34" s="5"/>
      <c r="BF34" s="153">
        <f t="shared" si="59"/>
        <v>5.8643701917371976E-2</v>
      </c>
      <c r="BG34" s="153">
        <f t="shared" si="36"/>
        <v>6.9823151507571984E-2</v>
      </c>
      <c r="BH34" s="153"/>
      <c r="BI34" s="463">
        <f t="shared" si="37"/>
        <v>1.2036793211007521E-3</v>
      </c>
      <c r="BJ34" s="463">
        <f t="shared" si="38"/>
        <v>1.1118428048831818E-2</v>
      </c>
      <c r="BK34" s="463">
        <f t="shared" si="39"/>
        <v>4.3650370370370371E-3</v>
      </c>
      <c r="BL34" s="463">
        <f t="shared" si="40"/>
        <v>2.8385004748800007E-2</v>
      </c>
      <c r="BM34">
        <f t="shared" si="41"/>
        <v>5.7999999999999996E-3</v>
      </c>
      <c r="BN34">
        <f t="shared" si="42"/>
        <v>1.3095111111111112E-5</v>
      </c>
      <c r="BO34" s="463">
        <f t="shared" si="43"/>
        <v>5.1059080116244597E-2</v>
      </c>
      <c r="BP34" s="147">
        <f t="shared" si="60"/>
        <v>51.059080116244594</v>
      </c>
      <c r="BQ34" s="463">
        <f t="shared" si="44"/>
        <v>1.4802708179647305E-2</v>
      </c>
      <c r="BR34" s="463"/>
      <c r="BT34" s="147">
        <f t="shared" si="61"/>
        <v>14.802708179647306</v>
      </c>
      <c r="BU34" s="463">
        <f t="shared" si="45"/>
        <v>2.7512670196588622E-3</v>
      </c>
      <c r="BV34" s="463">
        <f t="shared" si="46"/>
        <v>3.8807168992136846E-3</v>
      </c>
      <c r="BW34" s="463">
        <f t="shared" si="47"/>
        <v>0</v>
      </c>
      <c r="BX34" s="463">
        <f t="shared" si="48"/>
        <v>7.4317649768024527E-3</v>
      </c>
      <c r="BY34" s="463">
        <f t="shared" si="49"/>
        <v>1.3065290286654914E-2</v>
      </c>
      <c r="BZ34" s="147">
        <f t="shared" si="62"/>
        <v>20.497055263457366</v>
      </c>
      <c r="CA34" s="153">
        <f t="shared" si="63"/>
        <v>8.6358843559349266E-2</v>
      </c>
      <c r="CB34" s="5">
        <f t="shared" si="64"/>
        <v>0.57999999999999996</v>
      </c>
      <c r="CC34" s="153">
        <f t="shared" si="65"/>
        <v>0.87040189472377316</v>
      </c>
      <c r="CD34" s="5">
        <f t="shared" si="66"/>
        <v>87.040189472377321</v>
      </c>
      <c r="CG34" s="59">
        <f t="shared" si="50"/>
        <v>-50</v>
      </c>
      <c r="CH34">
        <f t="shared" si="51"/>
        <v>-50</v>
      </c>
    </row>
    <row r="35" spans="5:86" x14ac:dyDescent="0.25">
      <c r="E35" s="150">
        <v>30</v>
      </c>
      <c r="F35" s="191">
        <f t="shared" si="52"/>
        <v>0.03</v>
      </c>
      <c r="G35" s="191"/>
      <c r="H35" s="191">
        <f t="shared" si="0"/>
        <v>0.6</v>
      </c>
      <c r="I35" s="472">
        <f t="shared" si="1"/>
        <v>20</v>
      </c>
      <c r="J35" s="152">
        <f t="shared" si="2"/>
        <v>20.32</v>
      </c>
      <c r="K35" s="386">
        <f t="shared" si="3"/>
        <v>40.32</v>
      </c>
      <c r="L35" s="386"/>
      <c r="M35" s="191">
        <f t="shared" si="4"/>
        <v>0.50396825396825395</v>
      </c>
      <c r="N35" s="152">
        <f t="shared" si="5"/>
        <v>3.4017857142857144</v>
      </c>
      <c r="O35" s="152">
        <f t="shared" si="53"/>
        <v>0.6</v>
      </c>
      <c r="P35" s="191">
        <f t="shared" si="6"/>
        <v>0.17008928571428572</v>
      </c>
      <c r="Q35" s="191">
        <f t="shared" si="7"/>
        <v>20</v>
      </c>
      <c r="R35" s="191">
        <f t="shared" si="8"/>
        <v>0.18898809523809523</v>
      </c>
      <c r="S35" s="152">
        <f t="shared" si="9"/>
        <v>205.03116612445297</v>
      </c>
      <c r="T35" s="152">
        <f t="shared" si="10"/>
        <v>20</v>
      </c>
      <c r="U35" s="191">
        <f t="shared" si="11"/>
        <v>0.13228346456692913</v>
      </c>
      <c r="V35" s="191">
        <f t="shared" si="12"/>
        <v>0.99212598425196841</v>
      </c>
      <c r="W35" s="191">
        <f t="shared" si="13"/>
        <v>0.97650195300390574</v>
      </c>
      <c r="X35" s="175">
        <f t="shared" si="14"/>
        <v>350</v>
      </c>
      <c r="Y35" s="386">
        <f t="shared" si="54"/>
        <v>350</v>
      </c>
      <c r="AA35" s="191">
        <f t="shared" si="15"/>
        <v>0.19198790627362058</v>
      </c>
      <c r="AB35" s="153">
        <f t="shared" si="16"/>
        <v>1.4172335600907029</v>
      </c>
      <c r="AC35" s="153">
        <f t="shared" si="17"/>
        <v>4.7616048182941621E-2</v>
      </c>
      <c r="AD35" s="153"/>
      <c r="AE35" s="153">
        <f t="shared" si="18"/>
        <v>1.1072834645669289</v>
      </c>
      <c r="AF35" s="317">
        <f t="shared" si="19"/>
        <v>361.24444444444441</v>
      </c>
      <c r="AG35" s="463">
        <f t="shared" si="20"/>
        <v>2.9066190944881887E-2</v>
      </c>
      <c r="AI35" s="153">
        <f t="shared" si="21"/>
        <v>0.16063366584615632</v>
      </c>
      <c r="AJ35" s="153">
        <f t="shared" si="22"/>
        <v>0.16063366584615632</v>
      </c>
      <c r="AK35" s="153">
        <f t="shared" si="23"/>
        <v>1.2070891105641042</v>
      </c>
      <c r="AM35" s="317">
        <f t="shared" si="24"/>
        <v>30</v>
      </c>
      <c r="AN35" s="147">
        <f t="shared" si="25"/>
        <v>350</v>
      </c>
      <c r="AP35">
        <f t="shared" si="26"/>
        <v>30</v>
      </c>
      <c r="AQ35" s="147">
        <f t="shared" si="27"/>
        <v>350</v>
      </c>
      <c r="AR35" s="147"/>
      <c r="AS35" s="5">
        <f t="shared" si="55"/>
        <v>2.8571428571428572</v>
      </c>
      <c r="AT35" s="5">
        <f t="shared" si="28"/>
        <v>1.2047524938461722</v>
      </c>
      <c r="AU35" s="5">
        <f t="shared" si="56"/>
        <v>1.652390363296685</v>
      </c>
      <c r="AV35" s="5">
        <f t="shared" si="29"/>
        <v>1.1857800136281222</v>
      </c>
      <c r="AW35" s="153">
        <f t="shared" si="57"/>
        <v>0.42166337284616029</v>
      </c>
      <c r="AX35" s="153">
        <f t="shared" si="30"/>
        <v>0.67733333333333334</v>
      </c>
      <c r="AY35" s="153">
        <f t="shared" si="31"/>
        <v>4.645016625641149E-2</v>
      </c>
      <c r="AZ35" s="153">
        <f t="shared" si="58"/>
        <v>14.581935608031143</v>
      </c>
      <c r="BA35" s="147">
        <f t="shared" si="32"/>
        <v>5.9640482169430262</v>
      </c>
      <c r="BB35" s="147">
        <f t="shared" si="33"/>
        <v>1.6413227999999995</v>
      </c>
      <c r="BC35" s="5">
        <f t="shared" si="34"/>
        <v>5.5079678776556167E-2</v>
      </c>
      <c r="BD35" s="147">
        <f t="shared" si="35"/>
        <v>5.607967877655617</v>
      </c>
      <c r="BE35" s="5"/>
      <c r="BF35" s="153">
        <f t="shared" si="59"/>
        <v>6.022251415462767E-2</v>
      </c>
      <c r="BG35" s="153">
        <f t="shared" si="36"/>
        <v>7.0528767109271612E-2</v>
      </c>
      <c r="BH35" s="153"/>
      <c r="BI35" s="463">
        <f t="shared" si="37"/>
        <v>1.2693629238865155E-3</v>
      </c>
      <c r="BJ35" s="463">
        <f t="shared" si="38"/>
        <v>1.1334311462104792E-2</v>
      </c>
      <c r="BK35" s="463">
        <f t="shared" si="39"/>
        <v>4.3749999999999995E-3</v>
      </c>
      <c r="BL35" s="463">
        <f t="shared" si="40"/>
        <v>2.8449792000000005E-2</v>
      </c>
      <c r="BM35">
        <f t="shared" si="41"/>
        <v>5.7999999999999996E-3</v>
      </c>
      <c r="BN35">
        <f t="shared" si="42"/>
        <v>1.3124999999999999E-5</v>
      </c>
      <c r="BO35" s="463">
        <f t="shared" si="43"/>
        <v>5.1424998984830828E-2</v>
      </c>
      <c r="BP35" s="147">
        <f t="shared" si="60"/>
        <v>51.424998984830829</v>
      </c>
      <c r="BQ35" s="463">
        <f t="shared" si="44"/>
        <v>1.5260370540324758E-2</v>
      </c>
      <c r="BR35" s="463"/>
      <c r="BT35" s="147">
        <f t="shared" si="61"/>
        <v>15.260370540324757</v>
      </c>
      <c r="BU35" s="463">
        <f t="shared" si="45"/>
        <v>2.9014009688834641E-3</v>
      </c>
      <c r="BV35" s="463">
        <f t="shared" si="46"/>
        <v>3.9595483640032826E-3</v>
      </c>
      <c r="BW35" s="463">
        <f t="shared" si="47"/>
        <v>0</v>
      </c>
      <c r="BX35" s="463">
        <f t="shared" si="48"/>
        <v>7.6884832763696306E-3</v>
      </c>
      <c r="BY35" s="463">
        <f t="shared" si="49"/>
        <v>1.354666666666667E-2</v>
      </c>
      <c r="BZ35" s="147">
        <f t="shared" si="62"/>
        <v>21.235149943036301</v>
      </c>
      <c r="CA35" s="153">
        <f t="shared" si="63"/>
        <v>8.7920519468191877E-2</v>
      </c>
      <c r="CB35" s="5">
        <f t="shared" si="64"/>
        <v>0.6</v>
      </c>
      <c r="CC35" s="153">
        <f t="shared" si="65"/>
        <v>0.87219378259546565</v>
      </c>
      <c r="CD35" s="5">
        <f t="shared" si="66"/>
        <v>87.219378259546559</v>
      </c>
      <c r="CG35" s="59">
        <f t="shared" si="50"/>
        <v>-50</v>
      </c>
      <c r="CH35">
        <f t="shared" si="51"/>
        <v>-50</v>
      </c>
    </row>
    <row r="36" spans="5:86" x14ac:dyDescent="0.25">
      <c r="E36" s="150">
        <v>31</v>
      </c>
      <c r="F36" s="191">
        <f t="shared" si="52"/>
        <v>3.1E-2</v>
      </c>
      <c r="G36" s="191"/>
      <c r="H36" s="191">
        <f t="shared" si="0"/>
        <v>0.62</v>
      </c>
      <c r="I36" s="472">
        <f t="shared" si="1"/>
        <v>20</v>
      </c>
      <c r="J36" s="152">
        <f t="shared" si="2"/>
        <v>20.32</v>
      </c>
      <c r="K36" s="386">
        <f t="shared" si="3"/>
        <v>40.32</v>
      </c>
      <c r="L36" s="386"/>
      <c r="M36" s="191">
        <f t="shared" si="4"/>
        <v>0.50396825396825395</v>
      </c>
      <c r="N36" s="152">
        <f t="shared" si="5"/>
        <v>3.4017857142857144</v>
      </c>
      <c r="O36" s="152">
        <f t="shared" si="53"/>
        <v>0.62</v>
      </c>
      <c r="P36" s="191">
        <f t="shared" si="6"/>
        <v>0.17008928571428572</v>
      </c>
      <c r="Q36" s="191">
        <f t="shared" si="7"/>
        <v>20</v>
      </c>
      <c r="R36" s="191">
        <f t="shared" si="8"/>
        <v>0.18898809523809523</v>
      </c>
      <c r="S36" s="152">
        <f t="shared" si="9"/>
        <v>197.77424333841606</v>
      </c>
      <c r="T36" s="152">
        <f t="shared" si="10"/>
        <v>20</v>
      </c>
      <c r="U36" s="191">
        <f t="shared" si="11"/>
        <v>0.13669291338582679</v>
      </c>
      <c r="V36" s="191">
        <f t="shared" si="12"/>
        <v>1.0251968503937006</v>
      </c>
      <c r="W36" s="191">
        <f t="shared" si="13"/>
        <v>1.0090520181040361</v>
      </c>
      <c r="X36" s="175">
        <f t="shared" si="14"/>
        <v>350</v>
      </c>
      <c r="Y36" s="386">
        <f t="shared" si="54"/>
        <v>350</v>
      </c>
      <c r="AA36" s="191">
        <f t="shared" si="15"/>
        <v>0.19198790627362058</v>
      </c>
      <c r="AB36" s="153">
        <f t="shared" si="16"/>
        <v>1.4172335600907029</v>
      </c>
      <c r="AC36" s="153">
        <f t="shared" si="17"/>
        <v>4.7616048182941621E-2</v>
      </c>
      <c r="AD36" s="153"/>
      <c r="AE36" s="153">
        <f t="shared" si="18"/>
        <v>1.1072834645669289</v>
      </c>
      <c r="AF36" s="317">
        <f t="shared" si="19"/>
        <v>373.28592592592594</v>
      </c>
      <c r="AG36" s="463">
        <f t="shared" si="20"/>
        <v>2.9066190944881887E-2</v>
      </c>
      <c r="AI36" s="153">
        <f t="shared" si="21"/>
        <v>0.1632889476458233</v>
      </c>
      <c r="AJ36" s="153">
        <f t="shared" si="22"/>
        <v>0.1632889476458233</v>
      </c>
      <c r="AK36" s="153">
        <f t="shared" si="23"/>
        <v>1.2088592984305488</v>
      </c>
      <c r="AM36" s="317">
        <f t="shared" si="24"/>
        <v>31</v>
      </c>
      <c r="AN36" s="147">
        <f t="shared" si="25"/>
        <v>350</v>
      </c>
      <c r="AP36">
        <f t="shared" si="26"/>
        <v>31</v>
      </c>
      <c r="AQ36" s="147">
        <f t="shared" si="27"/>
        <v>350</v>
      </c>
      <c r="AR36" s="147"/>
      <c r="AS36" s="5">
        <f t="shared" si="55"/>
        <v>2.8571428571428572</v>
      </c>
      <c r="AT36" s="5">
        <f t="shared" si="28"/>
        <v>1.2246671073436746</v>
      </c>
      <c r="AU36" s="5">
        <f t="shared" si="56"/>
        <v>1.6324757497991826</v>
      </c>
      <c r="AV36" s="5">
        <f t="shared" si="29"/>
        <v>1.2053810111650343</v>
      </c>
      <c r="AW36" s="153">
        <f t="shared" si="57"/>
        <v>0.42863348757028608</v>
      </c>
      <c r="AX36" s="153">
        <f t="shared" si="30"/>
        <v>0.69991111111111093</v>
      </c>
      <c r="AY36" s="153">
        <f t="shared" si="31"/>
        <v>4.66489182673561E-2</v>
      </c>
      <c r="AZ36" s="153">
        <f t="shared" si="58"/>
        <v>15.003801526538151</v>
      </c>
      <c r="BA36" s="147">
        <f t="shared" si="32"/>
        <v>5.9640482169430262</v>
      </c>
      <c r="BB36" s="147">
        <f t="shared" si="33"/>
        <v>1.7494680119999997</v>
      </c>
      <c r="BC36" s="5">
        <f t="shared" si="34"/>
        <v>5.6229720270860734E-2</v>
      </c>
      <c r="BD36" s="147">
        <f t="shared" si="35"/>
        <v>5.7263053604194072</v>
      </c>
      <c r="BE36" s="5"/>
      <c r="BF36" s="153">
        <f t="shared" si="59"/>
        <v>6.1721889358355465E-2</v>
      </c>
      <c r="BG36" s="153">
        <f t="shared" si="36"/>
        <v>7.1261269390380647E-2</v>
      </c>
      <c r="BH36" s="153"/>
      <c r="BI36" s="463">
        <f t="shared" si="37"/>
        <v>1.3333570690877757E-3</v>
      </c>
      <c r="BJ36" s="463">
        <f t="shared" si="38"/>
        <v>1.1521668145889293E-2</v>
      </c>
      <c r="BK36" s="463">
        <f t="shared" si="39"/>
        <v>4.3749999999999995E-3</v>
      </c>
      <c r="BL36" s="463">
        <f t="shared" si="40"/>
        <v>2.8449792000000005E-2</v>
      </c>
      <c r="BM36">
        <f t="shared" si="41"/>
        <v>5.7999999999999996E-3</v>
      </c>
      <c r="BN36">
        <f t="shared" si="42"/>
        <v>1.3124999999999999E-5</v>
      </c>
      <c r="BO36" s="463">
        <f t="shared" si="43"/>
        <v>5.1685660318086434E-2</v>
      </c>
      <c r="BP36" s="147">
        <f t="shared" si="60"/>
        <v>51.685660318086434</v>
      </c>
      <c r="BQ36" s="463">
        <f t="shared" si="44"/>
        <v>1.5721720745558099E-2</v>
      </c>
      <c r="BR36" s="463"/>
      <c r="BT36" s="147">
        <f t="shared" si="61"/>
        <v>15.7217207455581</v>
      </c>
      <c r="BU36" s="463">
        <f t="shared" si="45"/>
        <v>3.047673300772059E-3</v>
      </c>
      <c r="BV36" s="463">
        <f t="shared" si="46"/>
        <v>4.0422221380422077E-3</v>
      </c>
      <c r="BW36" s="463">
        <f t="shared" si="47"/>
        <v>0</v>
      </c>
      <c r="BX36" s="463">
        <f t="shared" si="48"/>
        <v>7.9451893364029125E-3</v>
      </c>
      <c r="BY36" s="463">
        <f t="shared" si="49"/>
        <v>1.3998222222222223E-2</v>
      </c>
      <c r="BZ36" s="147">
        <f t="shared" si="62"/>
        <v>21.943411558625137</v>
      </c>
      <c r="CA36" s="153">
        <f t="shared" si="63"/>
        <v>8.9350792622269665E-2</v>
      </c>
      <c r="CB36" s="5">
        <f t="shared" si="64"/>
        <v>0.62</v>
      </c>
      <c r="CC36" s="153">
        <f t="shared" si="65"/>
        <v>0.87403863708678609</v>
      </c>
      <c r="CD36" s="5">
        <f t="shared" si="66"/>
        <v>87.403863708678614</v>
      </c>
      <c r="CG36" s="59">
        <f t="shared" si="50"/>
        <v>-50</v>
      </c>
      <c r="CH36">
        <f t="shared" si="51"/>
        <v>-50</v>
      </c>
    </row>
    <row r="37" spans="5:86" x14ac:dyDescent="0.25">
      <c r="E37" s="150">
        <v>32</v>
      </c>
      <c r="F37" s="191">
        <f t="shared" si="52"/>
        <v>3.2000000000000001E-2</v>
      </c>
      <c r="G37" s="191"/>
      <c r="H37" s="191">
        <f t="shared" ref="H37:H68" si="67">F37*Vout</f>
        <v>0.64</v>
      </c>
      <c r="I37" s="472">
        <f t="shared" ref="I37:I68" si="68">Vin</f>
        <v>20</v>
      </c>
      <c r="J37" s="152">
        <f t="shared" ref="J37:J68" si="69">(T37+Vfwd1)*Nps</f>
        <v>20.32</v>
      </c>
      <c r="K37" s="386">
        <f t="shared" ref="K37:K68" si="70">(Vout+Vfwd1)*Nps+I37</f>
        <v>40.32</v>
      </c>
      <c r="L37" s="386"/>
      <c r="M37" s="191">
        <f t="shared" ref="M37:M68" si="71">(Vout+Vfwd1)*Nps/((Vout+Vfwd1)*Nps+I37)</f>
        <v>0.50396825396825395</v>
      </c>
      <c r="N37" s="152">
        <f t="shared" ref="N37:N68" si="72">M37*I37*Isw_max*0.5*Efficiency</f>
        <v>3.4017857142857144</v>
      </c>
      <c r="O37" s="152">
        <f t="shared" si="53"/>
        <v>0.64</v>
      </c>
      <c r="P37" s="191">
        <f t="shared" ref="P37:P68" si="73">N37/Vout</f>
        <v>0.17008928571428572</v>
      </c>
      <c r="Q37" s="191">
        <f t="shared" ref="Q37:Q68" si="74">MIN(Vout,N37/F37)</f>
        <v>20</v>
      </c>
      <c r="R37" s="191">
        <f t="shared" ref="R37:R68" si="75">Isw_max/2*I37*Nps*(Q37+Vfwd1)/Q37/(I37+Nps*(Q37+Vfwd1))</f>
        <v>0.18898809523809523</v>
      </c>
      <c r="S37" s="152">
        <f t="shared" ref="S37:S68" si="76">(SQRT(Isw_max^2*Nps^2*I37^2+4*Isw_max*F37/Efficiency*(Nps^2*Vfwd1*I37-Nps*I37^2)+4*(F37/Efficiency)^2*Nps^2*Vfwd1^2+8*(F37/Efficiency)^2*Nps*Vfwd1*I37+4*(F37/Efficiency)^2*I37^2)-2*F37/Efficiency*I37-2*F37/Efficiency*Nps*Vfwd1+Isw_max*Nps*I37)/(4*F37/Efficiency*Nps)</f>
        <v>190.97095688737272</v>
      </c>
      <c r="T37" s="152">
        <f t="shared" ref="T37:T68" si="77">MIN(Vout, S37)</f>
        <v>20</v>
      </c>
      <c r="U37" s="191">
        <f t="shared" ref="U37:U68" si="78">MIN(2*Vout*F37/(Efficiency*I37*M37), Isw_max)</f>
        <v>0.14110236220472441</v>
      </c>
      <c r="V37" s="191">
        <f t="shared" ref="V37:V68" si="79">L*U37/I37*1000000</f>
        <v>1.0582677165354328</v>
      </c>
      <c r="W37" s="191">
        <f t="shared" ref="W37:W68" si="80">L*U37/J37*1000000</f>
        <v>1.0416020832041661</v>
      </c>
      <c r="X37" s="175">
        <f t="shared" ref="X37:X68" si="81">IF(1/((350000*L)*(1/I37+1/J37))&gt;Isw_min, 350, 0.001/((Isw_min*L)*(1/I37+1/J37)))</f>
        <v>350</v>
      </c>
      <c r="Y37" s="386">
        <f t="shared" si="54"/>
        <v>350</v>
      </c>
      <c r="AA37" s="191">
        <f t="shared" ref="AA37:AA68" si="82">1/((X37*1000*L)*(1/I37+1/J37))</f>
        <v>0.19198790627362058</v>
      </c>
      <c r="AB37" s="153">
        <f t="shared" ref="AB37:AB68" si="83">L*AA37/J37*1000000</f>
        <v>1.4172335600907029</v>
      </c>
      <c r="AC37" s="153">
        <f t="shared" ref="AC37:AC68" si="84">0.5*AB37*AA37*Nps*X37/1000</f>
        <v>4.7616048182941621E-2</v>
      </c>
      <c r="AD37" s="153"/>
      <c r="AE37" s="153">
        <f t="shared" ref="AE37:AE68" si="85">L*Isw_min/J37*1000000</f>
        <v>1.1072834645669289</v>
      </c>
      <c r="AF37" s="317">
        <f t="shared" ref="AF37:AF68" si="86">MAX(12, F37/(0.5*AE37/1000000*Isw_min*Nps)/1000)</f>
        <v>385.32740740740741</v>
      </c>
      <c r="AG37" s="463">
        <f t="shared" ref="AG37:AG68" si="87">0.5*AE37/1000000*Isw_min*Nps*X37*1000</f>
        <v>2.9066190944881887E-2</v>
      </c>
      <c r="AI37" s="153">
        <f t="shared" ref="AI37:AI68" si="88">SQRT(F37/Efficiency/(0.5*L/J37*Fsw_DCM*Nps))</f>
        <v>0.16590173670997616</v>
      </c>
      <c r="AJ37" s="153">
        <f t="shared" ref="AJ37:AJ71" si="89">MAX(IF(F37&gt;AC37,U37,AI37),Isw_min)</f>
        <v>0.16590173670997616</v>
      </c>
      <c r="AK37" s="153">
        <f t="shared" ref="AK37:AK68" si="90">IF(F37&gt;AG37, (AJ37-Isw_min)/1.2*0.8+1.2, AF37*0.2/350+1)</f>
        <v>1.2106011578066507</v>
      </c>
      <c r="AM37" s="317">
        <f t="shared" ref="AM37:AM68" si="91">F37*1000</f>
        <v>32</v>
      </c>
      <c r="AN37" s="147">
        <f t="shared" ref="AN37:AN68" si="92">IF(F37&gt;AG37, Y37, AF37)</f>
        <v>350</v>
      </c>
      <c r="AP37">
        <f t="shared" ref="AP37:AP68" si="93">IF(H37&gt;N37, "",AM37)</f>
        <v>32</v>
      </c>
      <c r="AQ37" s="147">
        <f t="shared" ref="AQ37:AQ68" si="94">IF(H37&gt;N37, "",AN37)</f>
        <v>350</v>
      </c>
      <c r="AR37" s="147"/>
      <c r="AS37" s="5">
        <f t="shared" si="55"/>
        <v>2.8571428571428572</v>
      </c>
      <c r="AT37" s="5">
        <f t="shared" ref="AT37:AT68" si="95">L*AJ37/I37*1000000</f>
        <v>1.244263025324821</v>
      </c>
      <c r="AU37" s="5">
        <f t="shared" si="56"/>
        <v>1.6128798318180362</v>
      </c>
      <c r="AV37" s="5">
        <f t="shared" ref="AV37:AV68" si="96">L*AJ37/J37*1000000</f>
        <v>1.224668332012619</v>
      </c>
      <c r="AW37" s="153">
        <f t="shared" si="57"/>
        <v>0.43549205886368736</v>
      </c>
      <c r="AX37" s="153">
        <f t="shared" ref="AX37:AX68" si="97">0.5*L*AJ37^2*AN37*1000</f>
        <v>0.72248888888888896</v>
      </c>
      <c r="AY37" s="153">
        <f t="shared" ref="AY37:AY68" si="98">AJ37*Nps/2*(1-AW37)</f>
        <v>4.6826423910543626E-2</v>
      </c>
      <c r="AZ37" s="153">
        <f t="shared" si="58"/>
        <v>15.429085301690323</v>
      </c>
      <c r="BA37" s="147">
        <f t="shared" ref="BA37:BA68" si="99">L*Isw_max^2/(2*Vout_ripple*Vout)*1000000000*((1+M37)/2)^2</f>
        <v>5.9640482169430262</v>
      </c>
      <c r="BB37" s="147">
        <f t="shared" ref="BB37:BB68" si="100">L*F37^2/(2*Cout*Vout*Nps^2)*1000000000*((1+M37)/(1-M37))^2+F37*RCoutEsr</f>
        <v>1.8610606079999994</v>
      </c>
      <c r="BC37" s="5">
        <f t="shared" ref="BC37:BC68" si="101">H37/Efficiency/I37*AU37/Vinripple1</f>
        <v>5.7346838464641288E-2</v>
      </c>
      <c r="BD37" s="147">
        <f t="shared" ref="BD37:BD68" si="102">((CB37/I37/Efficiency)*AU37/Cin+(CB37/I37/Efficiency)*RCinEsr)*1000</f>
        <v>5.841350513130795</v>
      </c>
      <c r="BE37" s="5"/>
      <c r="BF37" s="153">
        <f t="shared" si="59"/>
        <v>6.3209219111436496E-2</v>
      </c>
      <c r="BG37" s="153">
        <f t="shared" ref="BG37:BG68" si="103">AJ37*Nps*SQRT((1-AW37)/3)</f>
        <v>7.1965663343369249E-2</v>
      </c>
      <c r="BH37" s="153"/>
      <c r="BI37" s="463">
        <f t="shared" ref="BI37:BI68" si="104">Rdson*BF37^2</f>
        <v>1.3983918832371561E-3</v>
      </c>
      <c r="BJ37" s="463">
        <f t="shared" ref="BJ37:BJ68" si="105">0.5*K37*AJ37*AN37*1000*Trise</f>
        <v>1.1706026542255919E-2</v>
      </c>
      <c r="BK37" s="463">
        <f t="shared" ref="BK37:BK68" si="106">Qg*Vdd*AN37*1000</f>
        <v>4.3749999999999995E-3</v>
      </c>
      <c r="BL37" s="463">
        <f t="shared" ref="BL37:BL68" si="107">0.5*(Coss+Csw)*K37^2*AN37*1000</f>
        <v>2.8449792000000005E-2</v>
      </c>
      <c r="BM37">
        <f t="shared" ref="BM37:BM68" si="108">I37*IQ</f>
        <v>5.7999999999999996E-3</v>
      </c>
      <c r="BN37">
        <f t="shared" ref="BN37:BN68" si="109">(I37-Vdd)*Qg*AN37</f>
        <v>1.3124999999999999E-5</v>
      </c>
      <c r="BO37" s="463">
        <f t="shared" ref="BO37:BO68" si="110">(BJ37+BK37+BL37+BM37+BN37+BI37*(1+RdsonTC*(Ta-25)))/(1-BI37*RdsonTC*ThetaJA)</f>
        <v>5.1944520187483023E-2</v>
      </c>
      <c r="BP37" s="147">
        <f t="shared" si="60"/>
        <v>51.944520187483022</v>
      </c>
      <c r="BQ37" s="463">
        <f t="shared" ref="BQ37:BQ68" si="111">(Vfwd2*F37+BG37^2*Rdiode)*(1+Diode_TC/1000*(Ta-25))</f>
        <v>1.6180799319144689E-2</v>
      </c>
      <c r="BR37" s="463"/>
      <c r="BT37" s="147">
        <f t="shared" si="61"/>
        <v>16.18079931914469</v>
      </c>
      <c r="BU37" s="463">
        <f t="shared" ref="BU37:BU68" si="112">Rdcr_pri*BF37^2</f>
        <v>3.1963243045420712E-3</v>
      </c>
      <c r="BV37" s="463">
        <f t="shared" ref="BV37:BV68" si="113">Rdcr_sec*BG37^2</f>
        <v>4.1225291335591236E-3</v>
      </c>
      <c r="BW37" s="463">
        <f t="shared" ref="BW37:BW68" si="114">AJ37^2.5*AN37^2.5*k_core</f>
        <v>0</v>
      </c>
      <c r="BX37" s="463">
        <f t="shared" ref="BX37:BX68" si="115">(BW37+(BU37+BV37)*(1+Ltc*(Ta-25)))/(1-(BU37+BV37)*Ltc*ThetaCa)</f>
        <v>8.2019181416165231E-3</v>
      </c>
      <c r="BY37" s="463">
        <f t="shared" ref="BY37:BY68" si="116">0.5*Lleak*0.000000001*AJ37^2*AN37*1000</f>
        <v>1.4449777777777782E-2</v>
      </c>
      <c r="BZ37" s="147">
        <f t="shared" si="62"/>
        <v>22.651695919394303</v>
      </c>
      <c r="CA37" s="153">
        <f t="shared" si="63"/>
        <v>9.0777015426022026E-2</v>
      </c>
      <c r="CB37" s="5">
        <f t="shared" si="64"/>
        <v>0.64</v>
      </c>
      <c r="CC37" s="153">
        <f t="shared" si="65"/>
        <v>0.8757801442713663</v>
      </c>
      <c r="CD37" s="5">
        <f t="shared" si="66"/>
        <v>87.578014427136637</v>
      </c>
      <c r="CG37" s="59">
        <f t="shared" ref="CG37:CG68" si="117">IF(ABS(F37-Ioutmax_Vinnom)&lt;Iout/200, AN37, -50)</f>
        <v>-50</v>
      </c>
      <c r="CH37">
        <f t="shared" ref="CH37:CH68" si="118">IF(ABS(F37-Ioutmax_Vinnom)&lt;Iout/200, N37*CC37, -50)</f>
        <v>-50</v>
      </c>
    </row>
    <row r="38" spans="5:86" x14ac:dyDescent="0.25">
      <c r="E38" s="150">
        <v>33</v>
      </c>
      <c r="F38" s="191">
        <f t="shared" ref="F38:F69" si="119">IF(PLOT_TYPE=1, E38/100*Iout_max, min_I*EXP(N38*rr/100))</f>
        <v>3.3000000000000002E-2</v>
      </c>
      <c r="G38" s="191"/>
      <c r="H38" s="191">
        <f t="shared" si="67"/>
        <v>0.66</v>
      </c>
      <c r="I38" s="472">
        <f t="shared" si="68"/>
        <v>20</v>
      </c>
      <c r="J38" s="152">
        <f t="shared" si="69"/>
        <v>20.32</v>
      </c>
      <c r="K38" s="386">
        <f t="shared" si="70"/>
        <v>40.32</v>
      </c>
      <c r="L38" s="386"/>
      <c r="M38" s="191">
        <f t="shared" si="71"/>
        <v>0.50396825396825395</v>
      </c>
      <c r="N38" s="152">
        <f t="shared" si="72"/>
        <v>3.4017857142857144</v>
      </c>
      <c r="O38" s="152">
        <f t="shared" si="53"/>
        <v>0.66</v>
      </c>
      <c r="P38" s="191">
        <f t="shared" si="73"/>
        <v>0.17008928571428572</v>
      </c>
      <c r="Q38" s="191">
        <f t="shared" si="74"/>
        <v>20</v>
      </c>
      <c r="R38" s="191">
        <f t="shared" si="75"/>
        <v>0.18898809523809523</v>
      </c>
      <c r="S38" s="152">
        <f t="shared" si="76"/>
        <v>184.58006783724434</v>
      </c>
      <c r="T38" s="152">
        <f t="shared" si="77"/>
        <v>20</v>
      </c>
      <c r="U38" s="191">
        <f t="shared" si="78"/>
        <v>0.14551181102362207</v>
      </c>
      <c r="V38" s="191">
        <f t="shared" si="79"/>
        <v>1.0913385826771653</v>
      </c>
      <c r="W38" s="191">
        <f t="shared" si="80"/>
        <v>1.0741521483042966</v>
      </c>
      <c r="X38" s="175">
        <f t="shared" si="81"/>
        <v>350</v>
      </c>
      <c r="Y38" s="386">
        <f t="shared" si="54"/>
        <v>350</v>
      </c>
      <c r="AA38" s="191">
        <f t="shared" si="82"/>
        <v>0.19198790627362058</v>
      </c>
      <c r="AB38" s="153">
        <f t="shared" si="83"/>
        <v>1.4172335600907029</v>
      </c>
      <c r="AC38" s="153">
        <f t="shared" si="84"/>
        <v>4.7616048182941621E-2</v>
      </c>
      <c r="AD38" s="153"/>
      <c r="AE38" s="153">
        <f t="shared" si="85"/>
        <v>1.1072834645669289</v>
      </c>
      <c r="AF38" s="317">
        <f t="shared" si="86"/>
        <v>397.36888888888893</v>
      </c>
      <c r="AG38" s="463">
        <f t="shared" si="87"/>
        <v>2.9066190944881887E-2</v>
      </c>
      <c r="AI38" s="153">
        <f t="shared" si="88"/>
        <v>0.16847401005345622</v>
      </c>
      <c r="AJ38" s="153">
        <f t="shared" si="89"/>
        <v>0.16847401005345622</v>
      </c>
      <c r="AK38" s="153">
        <f t="shared" si="90"/>
        <v>1.212316006702304</v>
      </c>
      <c r="AM38" s="317">
        <f t="shared" si="91"/>
        <v>33</v>
      </c>
      <c r="AN38" s="147">
        <f t="shared" si="92"/>
        <v>350</v>
      </c>
      <c r="AP38">
        <f t="shared" si="93"/>
        <v>33</v>
      </c>
      <c r="AQ38" s="147">
        <f t="shared" si="94"/>
        <v>350</v>
      </c>
      <c r="AR38" s="147"/>
      <c r="AS38" s="5">
        <f t="shared" si="55"/>
        <v>2.8571428571428572</v>
      </c>
      <c r="AT38" s="5">
        <f t="shared" si="95"/>
        <v>1.2635550754009215</v>
      </c>
      <c r="AU38" s="5">
        <f t="shared" si="56"/>
        <v>1.5935877817419357</v>
      </c>
      <c r="AV38" s="5">
        <f t="shared" si="96"/>
        <v>1.2436565702764977</v>
      </c>
      <c r="AW38" s="153">
        <f t="shared" si="57"/>
        <v>0.44224427639032249</v>
      </c>
      <c r="AX38" s="153">
        <f t="shared" si="97"/>
        <v>0.74506666666666654</v>
      </c>
      <c r="AY38" s="153">
        <f t="shared" si="98"/>
        <v>4.6983671693394777E-2</v>
      </c>
      <c r="AZ38" s="153">
        <f t="shared" si="58"/>
        <v>15.857991506683632</v>
      </c>
      <c r="BA38" s="147">
        <f t="shared" si="99"/>
        <v>5.9640482169430262</v>
      </c>
      <c r="BB38" s="147">
        <f t="shared" si="100"/>
        <v>1.976100588</v>
      </c>
      <c r="BC38" s="5">
        <f t="shared" si="101"/>
        <v>5.843155199720431E-2</v>
      </c>
      <c r="BD38" s="147">
        <f t="shared" si="102"/>
        <v>5.9531551997204311</v>
      </c>
      <c r="BE38" s="5"/>
      <c r="BF38" s="153">
        <f t="shared" si="59"/>
        <v>6.4684972260563245E-2</v>
      </c>
      <c r="BG38" s="153">
        <f t="shared" si="103"/>
        <v>7.2643089036839456E-2</v>
      </c>
      <c r="BH38" s="153"/>
      <c r="BI38" s="463">
        <f t="shared" si="104"/>
        <v>1.4644509727224427E-3</v>
      </c>
      <c r="BJ38" s="463">
        <f t="shared" si="105"/>
        <v>1.188752614937187E-2</v>
      </c>
      <c r="BK38" s="463">
        <f t="shared" si="106"/>
        <v>4.3749999999999995E-3</v>
      </c>
      <c r="BL38" s="463">
        <f t="shared" si="107"/>
        <v>2.8449792000000005E-2</v>
      </c>
      <c r="BM38">
        <f t="shared" si="108"/>
        <v>5.7999999999999996E-3</v>
      </c>
      <c r="BN38">
        <f t="shared" si="109"/>
        <v>1.3124999999999999E-5</v>
      </c>
      <c r="BO38" s="463">
        <f t="shared" si="110"/>
        <v>5.2201699443459718E-2</v>
      </c>
      <c r="BP38" s="147">
        <f t="shared" si="60"/>
        <v>52.201699443459717</v>
      </c>
      <c r="BQ38" s="463">
        <f t="shared" si="111"/>
        <v>1.6637642045998036E-2</v>
      </c>
      <c r="BR38" s="463"/>
      <c r="BT38" s="147">
        <f t="shared" si="61"/>
        <v>16.637642045998035</v>
      </c>
      <c r="BU38" s="463">
        <f t="shared" si="112"/>
        <v>3.3473165090798698E-3</v>
      </c>
      <c r="BV38" s="463">
        <f t="shared" si="113"/>
        <v>4.2005066343120913E-3</v>
      </c>
      <c r="BW38" s="463">
        <f t="shared" si="114"/>
        <v>0</v>
      </c>
      <c r="BX38" s="463">
        <f t="shared" si="115"/>
        <v>8.4586694839024288E-3</v>
      </c>
      <c r="BY38" s="463">
        <f t="shared" si="116"/>
        <v>1.4901333333333336E-2</v>
      </c>
      <c r="BZ38" s="147">
        <f t="shared" si="62"/>
        <v>23.360002817235763</v>
      </c>
      <c r="CA38" s="153">
        <f t="shared" si="63"/>
        <v>9.219934430669352E-2</v>
      </c>
      <c r="CB38" s="5">
        <f t="shared" si="64"/>
        <v>0.66</v>
      </c>
      <c r="CC38" s="153">
        <f t="shared" si="65"/>
        <v>0.8774269812855604</v>
      </c>
      <c r="CD38" s="5">
        <f t="shared" si="66"/>
        <v>87.742698128556043</v>
      </c>
      <c r="CG38" s="59">
        <f t="shared" si="117"/>
        <v>-50</v>
      </c>
      <c r="CH38">
        <f t="shared" si="118"/>
        <v>-50</v>
      </c>
    </row>
    <row r="39" spans="5:86" x14ac:dyDescent="0.25">
      <c r="E39" s="150">
        <v>34</v>
      </c>
      <c r="F39" s="191">
        <f t="shared" si="119"/>
        <v>3.4000000000000002E-2</v>
      </c>
      <c r="G39" s="191"/>
      <c r="H39" s="191">
        <f t="shared" si="67"/>
        <v>0.68</v>
      </c>
      <c r="I39" s="472">
        <f t="shared" si="68"/>
        <v>20</v>
      </c>
      <c r="J39" s="152">
        <f t="shared" si="69"/>
        <v>20.32</v>
      </c>
      <c r="K39" s="386">
        <f t="shared" si="70"/>
        <v>40.32</v>
      </c>
      <c r="L39" s="386"/>
      <c r="M39" s="191">
        <f t="shared" si="71"/>
        <v>0.50396825396825395</v>
      </c>
      <c r="N39" s="152">
        <f t="shared" si="72"/>
        <v>3.4017857142857144</v>
      </c>
      <c r="O39" s="152">
        <f t="shared" si="53"/>
        <v>0.68</v>
      </c>
      <c r="P39" s="191">
        <f t="shared" si="73"/>
        <v>0.17008928571428572</v>
      </c>
      <c r="Q39" s="191">
        <f t="shared" si="74"/>
        <v>20</v>
      </c>
      <c r="R39" s="191">
        <f t="shared" si="75"/>
        <v>0.18898809523809523</v>
      </c>
      <c r="S39" s="152">
        <f t="shared" si="76"/>
        <v>178.56518890220551</v>
      </c>
      <c r="T39" s="152">
        <f t="shared" si="77"/>
        <v>20</v>
      </c>
      <c r="U39" s="191">
        <f t="shared" si="78"/>
        <v>0.14992125984251969</v>
      </c>
      <c r="V39" s="191">
        <f t="shared" si="79"/>
        <v>1.1244094488188976</v>
      </c>
      <c r="W39" s="191">
        <f t="shared" si="80"/>
        <v>1.1067022134044266</v>
      </c>
      <c r="X39" s="175">
        <f t="shared" si="81"/>
        <v>350</v>
      </c>
      <c r="Y39" s="386">
        <f t="shared" si="54"/>
        <v>350</v>
      </c>
      <c r="AA39" s="191">
        <f t="shared" si="82"/>
        <v>0.19198790627362058</v>
      </c>
      <c r="AB39" s="153">
        <f t="shared" si="83"/>
        <v>1.4172335600907029</v>
      </c>
      <c r="AC39" s="153">
        <f t="shared" si="84"/>
        <v>4.7616048182941621E-2</v>
      </c>
      <c r="AD39" s="153"/>
      <c r="AE39" s="153">
        <f t="shared" si="85"/>
        <v>1.1072834645669289</v>
      </c>
      <c r="AF39" s="317">
        <f t="shared" si="86"/>
        <v>409.41037037037046</v>
      </c>
      <c r="AG39" s="463">
        <f t="shared" si="87"/>
        <v>2.9066190944881887E-2</v>
      </c>
      <c r="AI39" s="153">
        <f t="shared" si="88"/>
        <v>0.17100759598216064</v>
      </c>
      <c r="AJ39" s="153">
        <f t="shared" si="89"/>
        <v>0.17100759598216064</v>
      </c>
      <c r="AK39" s="153">
        <f t="shared" si="90"/>
        <v>1.214005063988107</v>
      </c>
      <c r="AM39" s="317">
        <f t="shared" si="91"/>
        <v>34</v>
      </c>
      <c r="AN39" s="147">
        <f t="shared" si="92"/>
        <v>350</v>
      </c>
      <c r="AP39">
        <f t="shared" si="93"/>
        <v>34</v>
      </c>
      <c r="AQ39" s="147">
        <f t="shared" si="94"/>
        <v>350</v>
      </c>
      <c r="AR39" s="147"/>
      <c r="AS39" s="5">
        <f t="shared" si="55"/>
        <v>2.8571428571428572</v>
      </c>
      <c r="AT39" s="5">
        <f t="shared" si="95"/>
        <v>1.2825569698662045</v>
      </c>
      <c r="AU39" s="5">
        <f t="shared" si="56"/>
        <v>1.5745858872766527</v>
      </c>
      <c r="AV39" s="5">
        <f t="shared" si="96"/>
        <v>1.2623592223092566</v>
      </c>
      <c r="AW39" s="153">
        <f t="shared" si="57"/>
        <v>0.44889493945317155</v>
      </c>
      <c r="AX39" s="153">
        <f t="shared" si="97"/>
        <v>0.76764444444444446</v>
      </c>
      <c r="AY39" s="153">
        <f t="shared" si="98"/>
        <v>4.7121575768858108E-2</v>
      </c>
      <c r="AZ39" s="153">
        <f t="shared" si="58"/>
        <v>16.290721010899816</v>
      </c>
      <c r="BA39" s="147">
        <f t="shared" si="99"/>
        <v>5.9640482169430262</v>
      </c>
      <c r="BB39" s="147">
        <f t="shared" si="100"/>
        <v>2.0945879519999999</v>
      </c>
      <c r="BC39" s="5">
        <f t="shared" si="101"/>
        <v>5.9484355741562439E-2</v>
      </c>
      <c r="BD39" s="147">
        <f t="shared" si="102"/>
        <v>6.0617689074895766</v>
      </c>
      <c r="BE39" s="5"/>
      <c r="BF39" s="153">
        <f t="shared" si="59"/>
        <v>6.614958579197748E-2</v>
      </c>
      <c r="BG39" s="153">
        <f t="shared" si="103"/>
        <v>7.3294599124008486E-2</v>
      </c>
      <c r="BH39" s="153"/>
      <c r="BI39" s="463">
        <f t="shared" si="104"/>
        <v>1.5315186951575662E-3</v>
      </c>
      <c r="BJ39" s="463">
        <f t="shared" si="105"/>
        <v>1.2066295972501254E-2</v>
      </c>
      <c r="BK39" s="463">
        <f t="shared" si="106"/>
        <v>4.3749999999999995E-3</v>
      </c>
      <c r="BL39" s="463">
        <f t="shared" si="107"/>
        <v>2.8449792000000005E-2</v>
      </c>
      <c r="BM39">
        <f t="shared" si="108"/>
        <v>5.7999999999999996E-3</v>
      </c>
      <c r="BN39">
        <f t="shared" si="109"/>
        <v>1.3124999999999999E-5</v>
      </c>
      <c r="BO39" s="463">
        <f t="shared" si="110"/>
        <v>5.2457309301560361E-2</v>
      </c>
      <c r="BP39" s="147">
        <f t="shared" si="60"/>
        <v>52.457309301560358</v>
      </c>
      <c r="BQ39" s="463">
        <f t="shared" si="111"/>
        <v>1.7092283071212317E-2</v>
      </c>
      <c r="BR39" s="463"/>
      <c r="BT39" s="147">
        <f t="shared" si="61"/>
        <v>17.092283071212318</v>
      </c>
      <c r="BU39" s="463">
        <f t="shared" si="112"/>
        <v>3.5006141603601514E-3</v>
      </c>
      <c r="BV39" s="463">
        <f t="shared" si="113"/>
        <v>4.2761902155562881E-3</v>
      </c>
      <c r="BW39" s="463">
        <f t="shared" si="114"/>
        <v>0</v>
      </c>
      <c r="BX39" s="463">
        <f t="shared" si="115"/>
        <v>8.7154431647497484E-3</v>
      </c>
      <c r="BY39" s="463">
        <f t="shared" si="116"/>
        <v>1.5352888888888892E-2</v>
      </c>
      <c r="BZ39" s="147">
        <f t="shared" si="62"/>
        <v>24.068332053638638</v>
      </c>
      <c r="CA39" s="153">
        <f t="shared" si="63"/>
        <v>9.3617924426411314E-2</v>
      </c>
      <c r="CB39" s="5">
        <f t="shared" si="64"/>
        <v>0.68</v>
      </c>
      <c r="CC39" s="153">
        <f t="shared" si="65"/>
        <v>0.87898687262730746</v>
      </c>
      <c r="CD39" s="5">
        <f t="shared" si="66"/>
        <v>87.898687262730746</v>
      </c>
      <c r="CG39" s="59">
        <f t="shared" si="117"/>
        <v>-50</v>
      </c>
      <c r="CH39">
        <f t="shared" si="118"/>
        <v>-50</v>
      </c>
    </row>
    <row r="40" spans="5:86" x14ac:dyDescent="0.25">
      <c r="E40" s="150">
        <v>35</v>
      </c>
      <c r="F40" s="191">
        <f t="shared" si="119"/>
        <v>3.4999999999999996E-2</v>
      </c>
      <c r="G40" s="191"/>
      <c r="H40" s="191">
        <f t="shared" si="67"/>
        <v>0.7</v>
      </c>
      <c r="I40" s="472">
        <f t="shared" si="68"/>
        <v>20</v>
      </c>
      <c r="J40" s="152">
        <f t="shared" si="69"/>
        <v>20.32</v>
      </c>
      <c r="K40" s="386">
        <f t="shared" si="70"/>
        <v>40.32</v>
      </c>
      <c r="L40" s="386"/>
      <c r="M40" s="191">
        <f t="shared" si="71"/>
        <v>0.50396825396825395</v>
      </c>
      <c r="N40" s="152">
        <f t="shared" si="72"/>
        <v>3.4017857142857144</v>
      </c>
      <c r="O40" s="152">
        <f t="shared" si="53"/>
        <v>0.7</v>
      </c>
      <c r="P40" s="191">
        <f t="shared" si="73"/>
        <v>0.17008928571428572</v>
      </c>
      <c r="Q40" s="191">
        <f t="shared" si="74"/>
        <v>20</v>
      </c>
      <c r="R40" s="191">
        <f t="shared" si="75"/>
        <v>0.18898809523809523</v>
      </c>
      <c r="S40" s="152">
        <f t="shared" si="76"/>
        <v>172.89409135221069</v>
      </c>
      <c r="T40" s="152">
        <f t="shared" si="77"/>
        <v>20</v>
      </c>
      <c r="U40" s="191">
        <f t="shared" si="78"/>
        <v>0.15433070866141732</v>
      </c>
      <c r="V40" s="191">
        <f t="shared" si="79"/>
        <v>1.1574803149606296</v>
      </c>
      <c r="W40" s="191">
        <f t="shared" si="80"/>
        <v>1.1392522785045569</v>
      </c>
      <c r="X40" s="175">
        <f t="shared" si="81"/>
        <v>350</v>
      </c>
      <c r="Y40" s="386">
        <f t="shared" si="54"/>
        <v>350</v>
      </c>
      <c r="AA40" s="191">
        <f t="shared" si="82"/>
        <v>0.19198790627362058</v>
      </c>
      <c r="AB40" s="153">
        <f t="shared" si="83"/>
        <v>1.4172335600907029</v>
      </c>
      <c r="AC40" s="153">
        <f t="shared" si="84"/>
        <v>4.7616048182941621E-2</v>
      </c>
      <c r="AD40" s="153"/>
      <c r="AE40" s="153">
        <f t="shared" si="85"/>
        <v>1.1072834645669289</v>
      </c>
      <c r="AF40" s="317">
        <f t="shared" si="86"/>
        <v>421.45185185185187</v>
      </c>
      <c r="AG40" s="463">
        <f t="shared" si="87"/>
        <v>2.9066190944881887E-2</v>
      </c>
      <c r="AI40" s="153">
        <f t="shared" si="88"/>
        <v>0.17350418929727229</v>
      </c>
      <c r="AJ40" s="153">
        <f t="shared" si="89"/>
        <v>0.17350418929727229</v>
      </c>
      <c r="AK40" s="153">
        <f t="shared" si="90"/>
        <v>1.2156694595315147</v>
      </c>
      <c r="AM40" s="317">
        <f t="shared" si="91"/>
        <v>34.999999999999993</v>
      </c>
      <c r="AN40" s="147">
        <f t="shared" si="92"/>
        <v>350</v>
      </c>
      <c r="AP40">
        <f t="shared" si="93"/>
        <v>34.999999999999993</v>
      </c>
      <c r="AQ40" s="147">
        <f t="shared" si="94"/>
        <v>350</v>
      </c>
      <c r="AR40" s="147"/>
      <c r="AS40" s="5">
        <f t="shared" si="55"/>
        <v>2.8571428571428572</v>
      </c>
      <c r="AT40" s="5">
        <f t="shared" si="95"/>
        <v>1.3012814197295421</v>
      </c>
      <c r="AU40" s="5">
        <f t="shared" si="56"/>
        <v>1.5558614374133151</v>
      </c>
      <c r="AV40" s="5">
        <f t="shared" si="96"/>
        <v>1.2807887989463995</v>
      </c>
      <c r="AW40" s="153">
        <f t="shared" si="57"/>
        <v>0.45544849690533973</v>
      </c>
      <c r="AX40" s="153">
        <f t="shared" si="97"/>
        <v>0.79022222222222216</v>
      </c>
      <c r="AY40" s="153">
        <f t="shared" si="98"/>
        <v>4.7240983537525046E-2</v>
      </c>
      <c r="AZ40" s="153">
        <f t="shared" si="58"/>
        <v>16.727471848559695</v>
      </c>
      <c r="BA40" s="147">
        <f t="shared" si="99"/>
        <v>5.9640482169430262</v>
      </c>
      <c r="BB40" s="147">
        <f t="shared" si="100"/>
        <v>2.2165226999999992</v>
      </c>
      <c r="BC40" s="5">
        <f t="shared" si="101"/>
        <v>6.0505722566073353E-2</v>
      </c>
      <c r="BD40" s="147">
        <f t="shared" si="102"/>
        <v>6.1672389232740015</v>
      </c>
      <c r="BE40" s="5"/>
      <c r="BF40" s="153">
        <f t="shared" si="59"/>
        <v>6.7603467867498129E-2</v>
      </c>
      <c r="BG40" s="153">
        <f t="shared" si="103"/>
        <v>7.3921167695882042E-2</v>
      </c>
      <c r="BH40" s="153"/>
      <c r="BI40" s="463">
        <f t="shared" si="104"/>
        <v>1.5995801036991482E-3</v>
      </c>
      <c r="BJ40" s="463">
        <f t="shared" si="105"/>
        <v>1.2242455596815532E-2</v>
      </c>
      <c r="BK40" s="463">
        <f t="shared" si="106"/>
        <v>4.3749999999999995E-3</v>
      </c>
      <c r="BL40" s="463">
        <f t="shared" si="107"/>
        <v>2.8449792000000005E-2</v>
      </c>
      <c r="BM40">
        <f t="shared" si="108"/>
        <v>5.7999999999999996E-3</v>
      </c>
      <c r="BN40">
        <f t="shared" si="109"/>
        <v>1.3124999999999999E-5</v>
      </c>
      <c r="BO40" s="463">
        <f t="shared" si="110"/>
        <v>5.2711452351646329E-2</v>
      </c>
      <c r="BP40" s="147">
        <f t="shared" si="60"/>
        <v>52.711452351646329</v>
      </c>
      <c r="BQ40" s="463">
        <f t="shared" si="111"/>
        <v>1.7544755021611354E-2</v>
      </c>
      <c r="BR40" s="463"/>
      <c r="BT40" s="147">
        <f t="shared" si="61"/>
        <v>17.544755021611355</v>
      </c>
      <c r="BU40" s="463">
        <f t="shared" si="112"/>
        <v>3.6561830941694816E-3</v>
      </c>
      <c r="BV40" s="463">
        <f t="shared" si="113"/>
        <v>4.3496138706840808E-3</v>
      </c>
      <c r="BW40" s="463">
        <f t="shared" si="114"/>
        <v>0</v>
      </c>
      <c r="BX40" s="463">
        <f t="shared" si="115"/>
        <v>8.9722389945328194E-3</v>
      </c>
      <c r="BY40" s="463">
        <f t="shared" si="116"/>
        <v>1.5804444444444444E-2</v>
      </c>
      <c r="BZ40" s="147">
        <f t="shared" si="62"/>
        <v>24.776683438977265</v>
      </c>
      <c r="CA40" s="153">
        <f t="shared" si="63"/>
        <v>9.5032890812234955E-2</v>
      </c>
      <c r="CB40" s="5">
        <f t="shared" si="64"/>
        <v>0.7</v>
      </c>
      <c r="CC40" s="153">
        <f t="shared" si="65"/>
        <v>0.88046671790503428</v>
      </c>
      <c r="CD40" s="5">
        <f t="shared" si="66"/>
        <v>88.046671790503424</v>
      </c>
      <c r="CG40" s="59">
        <f t="shared" si="117"/>
        <v>-50</v>
      </c>
      <c r="CH40">
        <f t="shared" si="118"/>
        <v>-50</v>
      </c>
    </row>
    <row r="41" spans="5:86" x14ac:dyDescent="0.25">
      <c r="E41" s="150">
        <v>36</v>
      </c>
      <c r="F41" s="191">
        <f t="shared" si="119"/>
        <v>3.5999999999999997E-2</v>
      </c>
      <c r="G41" s="191"/>
      <c r="H41" s="191">
        <f t="shared" si="67"/>
        <v>0.72</v>
      </c>
      <c r="I41" s="472">
        <f t="shared" si="68"/>
        <v>20</v>
      </c>
      <c r="J41" s="152">
        <f t="shared" si="69"/>
        <v>20.32</v>
      </c>
      <c r="K41" s="386">
        <f t="shared" si="70"/>
        <v>40.32</v>
      </c>
      <c r="L41" s="386"/>
      <c r="M41" s="191">
        <f t="shared" si="71"/>
        <v>0.50396825396825395</v>
      </c>
      <c r="N41" s="152">
        <f t="shared" si="72"/>
        <v>3.4017857142857144</v>
      </c>
      <c r="O41" s="152">
        <f t="shared" si="53"/>
        <v>0.72</v>
      </c>
      <c r="P41" s="191">
        <f t="shared" si="73"/>
        <v>0.17008928571428572</v>
      </c>
      <c r="Q41" s="191">
        <f t="shared" si="74"/>
        <v>20</v>
      </c>
      <c r="R41" s="191">
        <f t="shared" si="75"/>
        <v>0.18898809523809523</v>
      </c>
      <c r="S41" s="152">
        <f t="shared" si="76"/>
        <v>167.53812743593514</v>
      </c>
      <c r="T41" s="152">
        <f t="shared" si="77"/>
        <v>20</v>
      </c>
      <c r="U41" s="191">
        <f t="shared" si="78"/>
        <v>0.15874015748031495</v>
      </c>
      <c r="V41" s="191">
        <f t="shared" si="79"/>
        <v>1.1905511811023619</v>
      </c>
      <c r="W41" s="191">
        <f t="shared" si="80"/>
        <v>1.1718023436046869</v>
      </c>
      <c r="X41" s="175">
        <f t="shared" si="81"/>
        <v>350</v>
      </c>
      <c r="Y41" s="386">
        <f t="shared" si="54"/>
        <v>350</v>
      </c>
      <c r="AA41" s="191">
        <f t="shared" si="82"/>
        <v>0.19198790627362058</v>
      </c>
      <c r="AB41" s="153">
        <f t="shared" si="83"/>
        <v>1.4172335600907029</v>
      </c>
      <c r="AC41" s="153">
        <f t="shared" si="84"/>
        <v>4.7616048182941621E-2</v>
      </c>
      <c r="AD41" s="153"/>
      <c r="AE41" s="153">
        <f t="shared" si="85"/>
        <v>1.1072834645669289</v>
      </c>
      <c r="AF41" s="317">
        <f t="shared" si="86"/>
        <v>433.49333333333334</v>
      </c>
      <c r="AG41" s="463">
        <f t="shared" si="87"/>
        <v>2.9066190944881887E-2</v>
      </c>
      <c r="AI41" s="153">
        <f t="shared" si="88"/>
        <v>0.17596536455737397</v>
      </c>
      <c r="AJ41" s="153">
        <f t="shared" si="89"/>
        <v>0.17596536455737397</v>
      </c>
      <c r="AK41" s="153">
        <f t="shared" si="90"/>
        <v>1.2173102430382492</v>
      </c>
      <c r="AM41" s="317">
        <f t="shared" si="91"/>
        <v>36</v>
      </c>
      <c r="AN41" s="147">
        <f t="shared" si="92"/>
        <v>350</v>
      </c>
      <c r="AP41">
        <f t="shared" si="93"/>
        <v>36</v>
      </c>
      <c r="AQ41" s="147">
        <f t="shared" si="94"/>
        <v>350</v>
      </c>
      <c r="AR41" s="147"/>
      <c r="AS41" s="5">
        <f t="shared" si="55"/>
        <v>2.8571428571428572</v>
      </c>
      <c r="AT41" s="5">
        <f t="shared" si="95"/>
        <v>1.3197402341803046</v>
      </c>
      <c r="AU41" s="5">
        <f t="shared" si="56"/>
        <v>1.5374026229625526</v>
      </c>
      <c r="AV41" s="5">
        <f t="shared" si="96"/>
        <v>1.2989569234058116</v>
      </c>
      <c r="AW41" s="153">
        <f t="shared" si="57"/>
        <v>0.46190908196310659</v>
      </c>
      <c r="AX41" s="153">
        <f t="shared" si="97"/>
        <v>0.81279999999999986</v>
      </c>
      <c r="AY41" s="153">
        <f t="shared" si="98"/>
        <v>4.7342682278686987E-2</v>
      </c>
      <c r="AZ41" s="153">
        <f t="shared" si="58"/>
        <v>17.168439997028031</v>
      </c>
      <c r="BA41" s="147">
        <f t="shared" si="99"/>
        <v>5.9640482169430262</v>
      </c>
      <c r="BB41" s="147">
        <f t="shared" si="100"/>
        <v>2.3419048319999995</v>
      </c>
      <c r="BC41" s="5">
        <f t="shared" si="101"/>
        <v>6.1496104918502097E-2</v>
      </c>
      <c r="BD41" s="147">
        <f t="shared" si="102"/>
        <v>6.2696104918502096</v>
      </c>
      <c r="BE41" s="5"/>
      <c r="BF41" s="153">
        <f t="shared" si="59"/>
        <v>6.9047000492957339E-2</v>
      </c>
      <c r="BG41" s="153">
        <f t="shared" si="103"/>
        <v>7.4523698004026806E-2</v>
      </c>
      <c r="BH41" s="153"/>
      <c r="BI41" s="463">
        <f t="shared" si="104"/>
        <v>1.6686208969760579E-3</v>
      </c>
      <c r="BJ41" s="463">
        <f t="shared" si="105"/>
        <v>1.2416116123168308E-2</v>
      </c>
      <c r="BK41" s="463">
        <f t="shared" si="106"/>
        <v>4.3749999999999995E-3</v>
      </c>
      <c r="BL41" s="463">
        <f t="shared" si="107"/>
        <v>2.8449792000000005E-2</v>
      </c>
      <c r="BM41">
        <f t="shared" si="108"/>
        <v>5.7999999999999996E-3</v>
      </c>
      <c r="BN41">
        <f t="shared" si="109"/>
        <v>1.3124999999999999E-5</v>
      </c>
      <c r="BO41" s="463">
        <f t="shared" si="110"/>
        <v>5.2964223436484499E-2</v>
      </c>
      <c r="BP41" s="147">
        <f t="shared" si="60"/>
        <v>52.964223436484502</v>
      </c>
      <c r="BQ41" s="463">
        <f t="shared" si="111"/>
        <v>1.7995089115045274E-2</v>
      </c>
      <c r="BR41" s="463"/>
      <c r="BT41" s="147">
        <f t="shared" si="61"/>
        <v>17.995089115045275</v>
      </c>
      <c r="BU41" s="463">
        <f t="shared" si="112"/>
        <v>3.8139906216595612E-3</v>
      </c>
      <c r="BV41" s="463">
        <f t="shared" si="113"/>
        <v>4.4208101250995295E-3</v>
      </c>
      <c r="BW41" s="463">
        <f t="shared" si="114"/>
        <v>0</v>
      </c>
      <c r="BX41" s="463">
        <f t="shared" si="115"/>
        <v>9.2290567918711097E-3</v>
      </c>
      <c r="BY41" s="463">
        <f t="shared" si="116"/>
        <v>1.6256E-2</v>
      </c>
      <c r="BZ41" s="147">
        <f t="shared" si="62"/>
        <v>25.485056791871109</v>
      </c>
      <c r="CA41" s="153">
        <f t="shared" si="63"/>
        <v>9.6444369343400893E-2</v>
      </c>
      <c r="CB41" s="5">
        <f t="shared" si="64"/>
        <v>0.72</v>
      </c>
      <c r="CC41" s="153">
        <f t="shared" si="65"/>
        <v>0.88187269951905822</v>
      </c>
      <c r="CD41" s="5">
        <f t="shared" si="66"/>
        <v>88.187269951905819</v>
      </c>
      <c r="CG41" s="59">
        <f t="shared" si="117"/>
        <v>-50</v>
      </c>
      <c r="CH41">
        <f t="shared" si="118"/>
        <v>-50</v>
      </c>
    </row>
    <row r="42" spans="5:86" x14ac:dyDescent="0.25">
      <c r="E42" s="150">
        <v>37</v>
      </c>
      <c r="F42" s="191">
        <f t="shared" si="119"/>
        <v>3.6999999999999998E-2</v>
      </c>
      <c r="G42" s="191"/>
      <c r="H42" s="191">
        <f t="shared" si="67"/>
        <v>0.74</v>
      </c>
      <c r="I42" s="472">
        <f t="shared" si="68"/>
        <v>20</v>
      </c>
      <c r="J42" s="152">
        <f t="shared" si="69"/>
        <v>20.32</v>
      </c>
      <c r="K42" s="386">
        <f t="shared" si="70"/>
        <v>40.32</v>
      </c>
      <c r="L42" s="386"/>
      <c r="M42" s="191">
        <f t="shared" si="71"/>
        <v>0.50396825396825395</v>
      </c>
      <c r="N42" s="152">
        <f t="shared" si="72"/>
        <v>3.4017857142857144</v>
      </c>
      <c r="O42" s="152">
        <f t="shared" si="53"/>
        <v>0.74</v>
      </c>
      <c r="P42" s="191">
        <f t="shared" si="73"/>
        <v>0.17008928571428572</v>
      </c>
      <c r="Q42" s="191">
        <f t="shared" si="74"/>
        <v>20</v>
      </c>
      <c r="R42" s="191">
        <f t="shared" si="75"/>
        <v>0.18898809523809523</v>
      </c>
      <c r="S42" s="152">
        <f t="shared" si="76"/>
        <v>162.47174646486334</v>
      </c>
      <c r="T42" s="152">
        <f t="shared" si="77"/>
        <v>20</v>
      </c>
      <c r="U42" s="191">
        <f t="shared" si="78"/>
        <v>0.1631496062992126</v>
      </c>
      <c r="V42" s="191">
        <f t="shared" si="79"/>
        <v>1.2236220472440944</v>
      </c>
      <c r="W42" s="191">
        <f t="shared" si="80"/>
        <v>1.2043524087048172</v>
      </c>
      <c r="X42" s="175">
        <f t="shared" si="81"/>
        <v>350</v>
      </c>
      <c r="Y42" s="386">
        <f t="shared" si="54"/>
        <v>350</v>
      </c>
      <c r="AA42" s="191">
        <f t="shared" si="82"/>
        <v>0.19198790627362058</v>
      </c>
      <c r="AB42" s="153">
        <f t="shared" si="83"/>
        <v>1.4172335600907029</v>
      </c>
      <c r="AC42" s="153">
        <f t="shared" si="84"/>
        <v>4.7616048182941621E-2</v>
      </c>
      <c r="AD42" s="153"/>
      <c r="AE42" s="153">
        <f t="shared" si="85"/>
        <v>1.1072834645669289</v>
      </c>
      <c r="AF42" s="317">
        <f t="shared" si="86"/>
        <v>445.53481481481481</v>
      </c>
      <c r="AG42" s="463">
        <f t="shared" si="87"/>
        <v>2.9066190944881887E-2</v>
      </c>
      <c r="AI42" s="153">
        <f t="shared" si="88"/>
        <v>0.17839258769331012</v>
      </c>
      <c r="AJ42" s="153">
        <f t="shared" si="89"/>
        <v>0.17839258769331012</v>
      </c>
      <c r="AK42" s="153">
        <f t="shared" si="90"/>
        <v>1.21892839179554</v>
      </c>
      <c r="AM42" s="317">
        <f t="shared" si="91"/>
        <v>37</v>
      </c>
      <c r="AN42" s="147">
        <f t="shared" si="92"/>
        <v>350</v>
      </c>
      <c r="AP42">
        <f t="shared" si="93"/>
        <v>37</v>
      </c>
      <c r="AQ42" s="147">
        <f t="shared" si="94"/>
        <v>350</v>
      </c>
      <c r="AR42" s="147"/>
      <c r="AS42" s="5">
        <f t="shared" si="55"/>
        <v>2.8571428571428572</v>
      </c>
      <c r="AT42" s="5">
        <f t="shared" si="95"/>
        <v>1.3379444076998257</v>
      </c>
      <c r="AU42" s="5">
        <f t="shared" si="56"/>
        <v>1.5191984494430315</v>
      </c>
      <c r="AV42" s="5">
        <f t="shared" si="96"/>
        <v>1.3168744170273874</v>
      </c>
      <c r="AW42" s="153">
        <f t="shared" si="57"/>
        <v>0.46828054269493896</v>
      </c>
      <c r="AX42" s="153">
        <f t="shared" si="97"/>
        <v>0.83537777777777777</v>
      </c>
      <c r="AY42" s="153">
        <f t="shared" si="98"/>
        <v>4.7427404957766178E-2</v>
      </c>
      <c r="AZ42" s="153">
        <f t="shared" si="58"/>
        <v>17.613820079797254</v>
      </c>
      <c r="BA42" s="147">
        <f t="shared" si="99"/>
        <v>5.9640482169430262</v>
      </c>
      <c r="BB42" s="147">
        <f t="shared" si="100"/>
        <v>2.4707343479999997</v>
      </c>
      <c r="BC42" s="5">
        <f t="shared" si="101"/>
        <v>6.2455936254880183E-2</v>
      </c>
      <c r="BD42" s="147">
        <f t="shared" si="102"/>
        <v>6.3689269588213513</v>
      </c>
      <c r="BE42" s="5"/>
      <c r="BF42" s="153">
        <f t="shared" si="59"/>
        <v>7.0480541872506602E-2</v>
      </c>
      <c r="BG42" s="153">
        <f t="shared" si="103"/>
        <v>7.5103029224279333E-2</v>
      </c>
      <c r="BH42" s="153"/>
      <c r="BI42" s="463">
        <f t="shared" si="104"/>
        <v>1.7386273739247548E-3</v>
      </c>
      <c r="BJ42" s="463">
        <f t="shared" si="105"/>
        <v>1.2587380987639963E-2</v>
      </c>
      <c r="BK42" s="463">
        <f t="shared" si="106"/>
        <v>4.3749999999999995E-3</v>
      </c>
      <c r="BL42" s="463">
        <f t="shared" si="107"/>
        <v>2.8449792000000005E-2</v>
      </c>
      <c r="BM42">
        <f t="shared" si="108"/>
        <v>5.7999999999999996E-3</v>
      </c>
      <c r="BN42">
        <f t="shared" si="109"/>
        <v>1.3124999999999999E-5</v>
      </c>
      <c r="BO42" s="463">
        <f t="shared" si="110"/>
        <v>5.3215710419707976E-2</v>
      </c>
      <c r="BP42" s="147">
        <f t="shared" si="60"/>
        <v>53.215710419707975</v>
      </c>
      <c r="BQ42" s="463">
        <f t="shared" si="111"/>
        <v>1.84433152589785E-2</v>
      </c>
      <c r="BR42" s="463"/>
      <c r="BT42" s="147">
        <f t="shared" si="61"/>
        <v>18.443315258978501</v>
      </c>
      <c r="BU42" s="463">
        <f t="shared" si="112"/>
        <v>3.974005426113726E-3</v>
      </c>
      <c r="BV42" s="463">
        <f t="shared" si="113"/>
        <v>4.4898101389357131E-3</v>
      </c>
      <c r="BW42" s="463">
        <f t="shared" si="114"/>
        <v>0</v>
      </c>
      <c r="BX42" s="463">
        <f t="shared" si="115"/>
        <v>9.4858963830517992E-3</v>
      </c>
      <c r="BY42" s="463">
        <f t="shared" si="116"/>
        <v>1.6707555555555552E-2</v>
      </c>
      <c r="BZ42" s="147">
        <f t="shared" si="62"/>
        <v>26.19345193860735</v>
      </c>
      <c r="CA42" s="153">
        <f t="shared" si="63"/>
        <v>9.7852477617293848E-2</v>
      </c>
      <c r="CB42" s="5">
        <f t="shared" si="64"/>
        <v>0.74</v>
      </c>
      <c r="CC42" s="153">
        <f t="shared" si="65"/>
        <v>0.88321037386489654</v>
      </c>
      <c r="CD42" s="5">
        <f t="shared" si="66"/>
        <v>88.32103738648965</v>
      </c>
      <c r="CG42" s="59">
        <f t="shared" si="117"/>
        <v>-50</v>
      </c>
      <c r="CH42">
        <f t="shared" si="118"/>
        <v>-50</v>
      </c>
    </row>
    <row r="43" spans="5:86" x14ac:dyDescent="0.25">
      <c r="E43" s="150">
        <v>38</v>
      </c>
      <c r="F43" s="191">
        <f t="shared" si="119"/>
        <v>3.8000000000000006E-2</v>
      </c>
      <c r="G43" s="191"/>
      <c r="H43" s="191">
        <f t="shared" si="67"/>
        <v>0.76000000000000012</v>
      </c>
      <c r="I43" s="472">
        <f t="shared" si="68"/>
        <v>20</v>
      </c>
      <c r="J43" s="152">
        <f t="shared" si="69"/>
        <v>20.32</v>
      </c>
      <c r="K43" s="386">
        <f t="shared" si="70"/>
        <v>40.32</v>
      </c>
      <c r="L43" s="386"/>
      <c r="M43" s="191">
        <f t="shared" si="71"/>
        <v>0.50396825396825395</v>
      </c>
      <c r="N43" s="152">
        <f t="shared" si="72"/>
        <v>3.4017857142857144</v>
      </c>
      <c r="O43" s="152">
        <f t="shared" si="53"/>
        <v>0.76000000000000012</v>
      </c>
      <c r="P43" s="191">
        <f t="shared" si="73"/>
        <v>0.17008928571428572</v>
      </c>
      <c r="Q43" s="191">
        <f t="shared" si="74"/>
        <v>20</v>
      </c>
      <c r="R43" s="191">
        <f t="shared" si="75"/>
        <v>0.18898809523809523</v>
      </c>
      <c r="S43" s="152">
        <f t="shared" si="76"/>
        <v>157.67208730515495</v>
      </c>
      <c r="T43" s="152">
        <f t="shared" si="77"/>
        <v>20</v>
      </c>
      <c r="U43" s="191">
        <f t="shared" si="78"/>
        <v>0.16755905511811026</v>
      </c>
      <c r="V43" s="191">
        <f t="shared" si="79"/>
        <v>1.2566929133858267</v>
      </c>
      <c r="W43" s="191">
        <f t="shared" si="80"/>
        <v>1.2369024738049477</v>
      </c>
      <c r="X43" s="175">
        <f t="shared" si="81"/>
        <v>350</v>
      </c>
      <c r="Y43" s="386">
        <f t="shared" si="54"/>
        <v>350</v>
      </c>
      <c r="AA43" s="191">
        <f t="shared" si="82"/>
        <v>0.19198790627362058</v>
      </c>
      <c r="AB43" s="153">
        <f t="shared" si="83"/>
        <v>1.4172335600907029</v>
      </c>
      <c r="AC43" s="153">
        <f t="shared" si="84"/>
        <v>4.7616048182941621E-2</v>
      </c>
      <c r="AD43" s="153"/>
      <c r="AE43" s="153">
        <f t="shared" si="85"/>
        <v>1.1072834645669289</v>
      </c>
      <c r="AF43" s="317">
        <f t="shared" si="86"/>
        <v>457.57629629629639</v>
      </c>
      <c r="AG43" s="463">
        <f t="shared" si="87"/>
        <v>2.9066190944881887E-2</v>
      </c>
      <c r="AI43" s="153">
        <f t="shared" si="88"/>
        <v>0.18078722621916951</v>
      </c>
      <c r="AJ43" s="153">
        <f t="shared" si="89"/>
        <v>0.18078722621916951</v>
      </c>
      <c r="AK43" s="153">
        <f t="shared" si="90"/>
        <v>1.2205248174794463</v>
      </c>
      <c r="AM43" s="317">
        <f t="shared" si="91"/>
        <v>38.000000000000007</v>
      </c>
      <c r="AN43" s="147">
        <f t="shared" si="92"/>
        <v>350</v>
      </c>
      <c r="AP43">
        <f t="shared" si="93"/>
        <v>38.000000000000007</v>
      </c>
      <c r="AQ43" s="147">
        <f t="shared" si="94"/>
        <v>350</v>
      </c>
      <c r="AR43" s="147"/>
      <c r="AS43" s="5">
        <f t="shared" si="55"/>
        <v>2.8571428571428572</v>
      </c>
      <c r="AT43" s="5">
        <f t="shared" si="95"/>
        <v>1.3559041966437713</v>
      </c>
      <c r="AU43" s="5">
        <f t="shared" si="56"/>
        <v>1.5012386604990859</v>
      </c>
      <c r="AV43" s="5">
        <f t="shared" si="96"/>
        <v>1.3345513746493811</v>
      </c>
      <c r="AW43" s="153">
        <f t="shared" si="57"/>
        <v>0.47456646882531994</v>
      </c>
      <c r="AX43" s="153">
        <f t="shared" si="97"/>
        <v>0.8579555555555558</v>
      </c>
      <c r="AY43" s="153">
        <f t="shared" si="98"/>
        <v>4.7495835331806971E-2</v>
      </c>
      <c r="AZ43" s="153">
        <f t="shared" si="58"/>
        <v>18.063806006607926</v>
      </c>
      <c r="BA43" s="147">
        <f t="shared" si="99"/>
        <v>5.9640482169430262</v>
      </c>
      <c r="BB43" s="147">
        <f t="shared" si="100"/>
        <v>2.6030112480000001</v>
      </c>
      <c r="BC43" s="5">
        <f t="shared" si="101"/>
        <v>6.3385632332183639E-2</v>
      </c>
      <c r="BD43" s="147">
        <f t="shared" si="102"/>
        <v>6.4652298998850304</v>
      </c>
      <c r="BE43" s="5"/>
      <c r="BF43" s="153">
        <f t="shared" si="59"/>
        <v>7.1904428493247324E-2</v>
      </c>
      <c r="BG43" s="153">
        <f t="shared" si="103"/>
        <v>7.5659942402832123E-2</v>
      </c>
      <c r="BH43" s="153"/>
      <c r="BI43" s="463">
        <f t="shared" si="104"/>
        <v>1.8095863929291811E-3</v>
      </c>
      <c r="BJ43" s="463">
        <f t="shared" si="105"/>
        <v>1.27563466820246E-2</v>
      </c>
      <c r="BK43" s="463">
        <f t="shared" si="106"/>
        <v>4.3749999999999995E-3</v>
      </c>
      <c r="BL43" s="463">
        <f t="shared" si="107"/>
        <v>2.8449792000000005E-2</v>
      </c>
      <c r="BM43">
        <f t="shared" si="108"/>
        <v>5.7999999999999996E-3</v>
      </c>
      <c r="BN43">
        <f t="shared" si="109"/>
        <v>1.3124999999999999E-5</v>
      </c>
      <c r="BO43" s="463">
        <f t="shared" si="110"/>
        <v>5.3465994859635588E-2</v>
      </c>
      <c r="BP43" s="147">
        <f t="shared" si="60"/>
        <v>53.465994859635586</v>
      </c>
      <c r="BQ43" s="463">
        <f t="shared" si="111"/>
        <v>1.8889462139681505E-2</v>
      </c>
      <c r="BR43" s="463"/>
      <c r="BT43" s="147">
        <f t="shared" si="61"/>
        <v>18.889462139681505</v>
      </c>
      <c r="BU43" s="463">
        <f t="shared" si="112"/>
        <v>4.1361974695524146E-3</v>
      </c>
      <c r="BV43" s="463">
        <f t="shared" si="113"/>
        <v>4.5566437999823E-3</v>
      </c>
      <c r="BW43" s="463">
        <f t="shared" si="114"/>
        <v>0</v>
      </c>
      <c r="BX43" s="463">
        <f t="shared" si="115"/>
        <v>9.742757601507477E-3</v>
      </c>
      <c r="BY43" s="463">
        <f t="shared" si="116"/>
        <v>1.7159111111111115E-2</v>
      </c>
      <c r="BZ43" s="147">
        <f t="shared" si="62"/>
        <v>26.90186871261859</v>
      </c>
      <c r="CA43" s="153">
        <f t="shared" si="63"/>
        <v>9.9257325711935671E-2</v>
      </c>
      <c r="CB43" s="5">
        <f t="shared" si="64"/>
        <v>0.76000000000000012</v>
      </c>
      <c r="CC43" s="153">
        <f t="shared" si="65"/>
        <v>0.88448474893164719</v>
      </c>
      <c r="CD43" s="5">
        <f t="shared" si="66"/>
        <v>88.448474893164715</v>
      </c>
      <c r="CG43" s="59">
        <f t="shared" si="117"/>
        <v>-50</v>
      </c>
      <c r="CH43">
        <f t="shared" si="118"/>
        <v>-50</v>
      </c>
    </row>
    <row r="44" spans="5:86" x14ac:dyDescent="0.25">
      <c r="E44" s="150">
        <v>39</v>
      </c>
      <c r="F44" s="191">
        <f t="shared" si="119"/>
        <v>3.9000000000000007E-2</v>
      </c>
      <c r="G44" s="191"/>
      <c r="H44" s="191">
        <f t="shared" si="67"/>
        <v>0.78000000000000014</v>
      </c>
      <c r="I44" s="472">
        <f t="shared" si="68"/>
        <v>20</v>
      </c>
      <c r="J44" s="152">
        <f t="shared" si="69"/>
        <v>20.32</v>
      </c>
      <c r="K44" s="386">
        <f t="shared" si="70"/>
        <v>40.32</v>
      </c>
      <c r="L44" s="386"/>
      <c r="M44" s="191">
        <f t="shared" si="71"/>
        <v>0.50396825396825395</v>
      </c>
      <c r="N44" s="152">
        <f t="shared" si="72"/>
        <v>3.4017857142857144</v>
      </c>
      <c r="O44" s="152">
        <f t="shared" si="53"/>
        <v>0.78000000000000014</v>
      </c>
      <c r="P44" s="191">
        <f t="shared" si="73"/>
        <v>0.17008928571428572</v>
      </c>
      <c r="Q44" s="191">
        <f t="shared" si="74"/>
        <v>20</v>
      </c>
      <c r="R44" s="191">
        <f t="shared" si="75"/>
        <v>0.18898809523809523</v>
      </c>
      <c r="S44" s="152">
        <f t="shared" si="76"/>
        <v>153.11863356307234</v>
      </c>
      <c r="T44" s="152">
        <f t="shared" si="77"/>
        <v>20</v>
      </c>
      <c r="U44" s="191">
        <f t="shared" si="78"/>
        <v>0.17196850393700791</v>
      </c>
      <c r="V44" s="191">
        <f t="shared" si="79"/>
        <v>1.2897637795275592</v>
      </c>
      <c r="W44" s="191">
        <f t="shared" si="80"/>
        <v>1.2694525389050779</v>
      </c>
      <c r="X44" s="175">
        <f t="shared" si="81"/>
        <v>350</v>
      </c>
      <c r="Y44" s="386">
        <f t="shared" si="54"/>
        <v>350</v>
      </c>
      <c r="AA44" s="191">
        <f t="shared" si="82"/>
        <v>0.19198790627362058</v>
      </c>
      <c r="AB44" s="153">
        <f t="shared" si="83"/>
        <v>1.4172335600907029</v>
      </c>
      <c r="AC44" s="153">
        <f t="shared" si="84"/>
        <v>4.7616048182941621E-2</v>
      </c>
      <c r="AD44" s="153"/>
      <c r="AE44" s="153">
        <f t="shared" si="85"/>
        <v>1.1072834645669289</v>
      </c>
      <c r="AF44" s="317">
        <f t="shared" si="86"/>
        <v>469.61777777777786</v>
      </c>
      <c r="AG44" s="463">
        <f t="shared" si="87"/>
        <v>2.9066190944881887E-2</v>
      </c>
      <c r="AI44" s="153">
        <f t="shared" si="88"/>
        <v>0.18315055824137419</v>
      </c>
      <c r="AJ44" s="153">
        <f t="shared" si="89"/>
        <v>0.18315055824137419</v>
      </c>
      <c r="AK44" s="153">
        <f t="shared" si="90"/>
        <v>1.222100372160916</v>
      </c>
      <c r="AM44" s="317">
        <f t="shared" si="91"/>
        <v>39.000000000000007</v>
      </c>
      <c r="AN44" s="147">
        <f t="shared" si="92"/>
        <v>350</v>
      </c>
      <c r="AP44">
        <f t="shared" si="93"/>
        <v>39.000000000000007</v>
      </c>
      <c r="AQ44" s="147">
        <f t="shared" si="94"/>
        <v>350</v>
      </c>
      <c r="AR44" s="147"/>
      <c r="AS44" s="5">
        <f t="shared" si="55"/>
        <v>2.8571428571428572</v>
      </c>
      <c r="AT44" s="5">
        <f t="shared" si="95"/>
        <v>1.3736291868103063</v>
      </c>
      <c r="AU44" s="5">
        <f t="shared" si="56"/>
        <v>1.4835136703325509</v>
      </c>
      <c r="AV44" s="5">
        <f t="shared" si="96"/>
        <v>1.3519972311125061</v>
      </c>
      <c r="AW44" s="153">
        <f t="shared" si="57"/>
        <v>0.4807702153836072</v>
      </c>
      <c r="AX44" s="153">
        <f t="shared" si="97"/>
        <v>0.8805333333333335</v>
      </c>
      <c r="AY44" s="153">
        <f t="shared" si="98"/>
        <v>4.7548612454020416E-2</v>
      </c>
      <c r="AZ44" s="153">
        <f t="shared" si="58"/>
        <v>18.518591561106238</v>
      </c>
      <c r="BA44" s="147">
        <f t="shared" si="99"/>
        <v>5.9640482169430262</v>
      </c>
      <c r="BB44" s="147">
        <f t="shared" si="100"/>
        <v>2.7387355320000002</v>
      </c>
      <c r="BC44" s="5">
        <f t="shared" si="101"/>
        <v>6.4285592381077214E-2</v>
      </c>
      <c r="BD44" s="147">
        <f t="shared" si="102"/>
        <v>6.5585592381077209</v>
      </c>
      <c r="BE44" s="5"/>
      <c r="BF44" s="153">
        <f t="shared" si="59"/>
        <v>7.3318976977346059E-2</v>
      </c>
      <c r="BG44" s="153">
        <f t="shared" si="103"/>
        <v>7.6195165702103856E-2</v>
      </c>
      <c r="BH44" s="153"/>
      <c r="BI44" s="463">
        <f t="shared" si="104"/>
        <v>1.8814853347516106E-3</v>
      </c>
      <c r="BJ44" s="463">
        <f t="shared" si="105"/>
        <v>1.2923103389511362E-2</v>
      </c>
      <c r="BK44" s="463">
        <f t="shared" si="106"/>
        <v>4.3749999999999995E-3</v>
      </c>
      <c r="BL44" s="463">
        <f t="shared" si="107"/>
        <v>2.8449792000000005E-2</v>
      </c>
      <c r="BM44">
        <f t="shared" si="108"/>
        <v>5.7999999999999996E-3</v>
      </c>
      <c r="BN44">
        <f t="shared" si="109"/>
        <v>1.3124999999999999E-5</v>
      </c>
      <c r="BO44" s="463">
        <f t="shared" si="110"/>
        <v>5.3715152602615529E-2</v>
      </c>
      <c r="BP44" s="147">
        <f t="shared" si="60"/>
        <v>53.715152602615532</v>
      </c>
      <c r="BQ44" s="463">
        <f t="shared" si="111"/>
        <v>1.9333557303147494E-2</v>
      </c>
      <c r="BR44" s="463"/>
      <c r="BT44" s="147">
        <f t="shared" si="61"/>
        <v>19.333557303147494</v>
      </c>
      <c r="BU44" s="463">
        <f t="shared" si="112"/>
        <v>4.3005379080036819E-3</v>
      </c>
      <c r="BV44" s="463">
        <f t="shared" si="113"/>
        <v>4.6213398079913669E-3</v>
      </c>
      <c r="BW44" s="463">
        <f t="shared" si="114"/>
        <v>0</v>
      </c>
      <c r="BX44" s="463">
        <f t="shared" si="115"/>
        <v>9.9996402873422652E-3</v>
      </c>
      <c r="BY44" s="463">
        <f t="shared" si="116"/>
        <v>1.7610666666666674E-2</v>
      </c>
      <c r="BZ44" s="147">
        <f t="shared" si="62"/>
        <v>27.610306954008937</v>
      </c>
      <c r="CA44" s="153">
        <f t="shared" si="63"/>
        <v>0.10065901685977197</v>
      </c>
      <c r="CB44" s="5">
        <f t="shared" si="64"/>
        <v>0.78000000000000014</v>
      </c>
      <c r="CC44" s="153">
        <f t="shared" si="65"/>
        <v>0.88570035060936647</v>
      </c>
      <c r="CD44" s="5">
        <f t="shared" si="66"/>
        <v>88.570035060936647</v>
      </c>
      <c r="CG44" s="59">
        <f t="shared" si="117"/>
        <v>-50</v>
      </c>
      <c r="CH44">
        <f t="shared" si="118"/>
        <v>-50</v>
      </c>
    </row>
    <row r="45" spans="5:86" x14ac:dyDescent="0.25">
      <c r="E45" s="150">
        <v>40</v>
      </c>
      <c r="F45" s="191">
        <f t="shared" si="119"/>
        <v>4.0000000000000008E-2</v>
      </c>
      <c r="G45" s="191"/>
      <c r="H45" s="191">
        <f t="shared" si="67"/>
        <v>0.80000000000000016</v>
      </c>
      <c r="I45" s="472">
        <f t="shared" si="68"/>
        <v>20</v>
      </c>
      <c r="J45" s="152">
        <f t="shared" si="69"/>
        <v>20.32</v>
      </c>
      <c r="K45" s="386">
        <f t="shared" si="70"/>
        <v>40.32</v>
      </c>
      <c r="L45" s="386"/>
      <c r="M45" s="191">
        <f t="shared" si="71"/>
        <v>0.50396825396825395</v>
      </c>
      <c r="N45" s="152">
        <f t="shared" si="72"/>
        <v>3.4017857142857144</v>
      </c>
      <c r="O45" s="152">
        <f t="shared" si="53"/>
        <v>0.80000000000000016</v>
      </c>
      <c r="P45" s="191">
        <f t="shared" si="73"/>
        <v>0.17008928571428572</v>
      </c>
      <c r="Q45" s="191">
        <f t="shared" si="74"/>
        <v>20</v>
      </c>
      <c r="R45" s="191">
        <f t="shared" si="75"/>
        <v>0.18898809523809523</v>
      </c>
      <c r="S45" s="152">
        <f t="shared" si="76"/>
        <v>148.79292049259618</v>
      </c>
      <c r="T45" s="152">
        <f t="shared" si="77"/>
        <v>20</v>
      </c>
      <c r="U45" s="191">
        <f t="shared" si="78"/>
        <v>0.17637795275590556</v>
      </c>
      <c r="V45" s="191">
        <f t="shared" si="79"/>
        <v>1.3228346456692917</v>
      </c>
      <c r="W45" s="191">
        <f t="shared" si="80"/>
        <v>1.3020026040052084</v>
      </c>
      <c r="X45" s="175">
        <f t="shared" si="81"/>
        <v>350</v>
      </c>
      <c r="Y45" s="386">
        <f t="shared" si="54"/>
        <v>350</v>
      </c>
      <c r="AA45" s="191">
        <f t="shared" si="82"/>
        <v>0.19198790627362058</v>
      </c>
      <c r="AB45" s="153">
        <f t="shared" si="83"/>
        <v>1.4172335600907029</v>
      </c>
      <c r="AC45" s="153">
        <f t="shared" si="84"/>
        <v>4.7616048182941621E-2</v>
      </c>
      <c r="AD45" s="153"/>
      <c r="AE45" s="153">
        <f t="shared" si="85"/>
        <v>1.1072834645669289</v>
      </c>
      <c r="AF45" s="317">
        <f t="shared" si="86"/>
        <v>481.65925925925939</v>
      </c>
      <c r="AG45" s="463">
        <f t="shared" si="87"/>
        <v>2.9066190944881887E-2</v>
      </c>
      <c r="AI45" s="153">
        <f t="shared" si="88"/>
        <v>0.18548378043438951</v>
      </c>
      <c r="AJ45" s="153">
        <f t="shared" si="89"/>
        <v>0.18548378043438951</v>
      </c>
      <c r="AK45" s="153">
        <f t="shared" si="90"/>
        <v>1.2236558536229263</v>
      </c>
      <c r="AM45" s="317">
        <f t="shared" si="91"/>
        <v>40.000000000000007</v>
      </c>
      <c r="AN45" s="147">
        <f t="shared" si="92"/>
        <v>350</v>
      </c>
      <c r="AP45">
        <f t="shared" si="93"/>
        <v>40.000000000000007</v>
      </c>
      <c r="AQ45" s="147">
        <f t="shared" si="94"/>
        <v>350</v>
      </c>
      <c r="AR45" s="147"/>
      <c r="AS45" s="5">
        <f t="shared" si="55"/>
        <v>2.8571428571428572</v>
      </c>
      <c r="AT45" s="5">
        <f t="shared" si="95"/>
        <v>1.3911283532579211</v>
      </c>
      <c r="AU45" s="5">
        <f t="shared" si="56"/>
        <v>1.4660145038849361</v>
      </c>
      <c r="AV45" s="5">
        <f t="shared" si="96"/>
        <v>1.3692208201357492</v>
      </c>
      <c r="AW45" s="153">
        <f t="shared" si="57"/>
        <v>0.48689492364027237</v>
      </c>
      <c r="AX45" s="153">
        <f t="shared" si="97"/>
        <v>0.90311111111111142</v>
      </c>
      <c r="AY45" s="153">
        <f t="shared" si="98"/>
        <v>4.7586334661639189E-2</v>
      </c>
      <c r="AZ45" s="153">
        <f t="shared" si="58"/>
        <v>18.978370944781698</v>
      </c>
      <c r="BA45" s="147">
        <f t="shared" si="99"/>
        <v>5.9640482169430262</v>
      </c>
      <c r="BB45" s="147">
        <f t="shared" si="100"/>
        <v>2.877907200000001</v>
      </c>
      <c r="BC45" s="5">
        <f t="shared" si="101"/>
        <v>6.5156200172663839E-2</v>
      </c>
      <c r="BD45" s="147">
        <f t="shared" si="102"/>
        <v>6.6489533505997178</v>
      </c>
      <c r="BE45" s="5"/>
      <c r="BF45" s="153">
        <f t="shared" si="59"/>
        <v>7.4724485732855311E-2</v>
      </c>
      <c r="BG45" s="153">
        <f t="shared" si="103"/>
        <v>7.6709379044359635E-2</v>
      </c>
      <c r="BH45" s="153"/>
      <c r="BI45" s="463">
        <f t="shared" si="104"/>
        <v>1.954312068813894E-3</v>
      </c>
      <c r="BJ45" s="463">
        <f t="shared" si="105"/>
        <v>1.3087735547450526E-2</v>
      </c>
      <c r="BK45" s="463">
        <f t="shared" si="106"/>
        <v>4.3749999999999995E-3</v>
      </c>
      <c r="BL45" s="463">
        <f t="shared" si="107"/>
        <v>2.8449792000000005E-2</v>
      </c>
      <c r="BM45">
        <f t="shared" si="108"/>
        <v>5.7999999999999996E-3</v>
      </c>
      <c r="BN45">
        <f t="shared" si="109"/>
        <v>1.3124999999999999E-5</v>
      </c>
      <c r="BO45" s="463">
        <f t="shared" si="110"/>
        <v>5.396325430728028E-2</v>
      </c>
      <c r="BP45" s="147">
        <f t="shared" si="60"/>
        <v>53.96325430728028</v>
      </c>
      <c r="BQ45" s="463">
        <f t="shared" si="111"/>
        <v>1.9775627228695632E-2</v>
      </c>
      <c r="BR45" s="463"/>
      <c r="BT45" s="147">
        <f t="shared" si="61"/>
        <v>19.775627228695633</v>
      </c>
      <c r="BU45" s="463">
        <f t="shared" si="112"/>
        <v>4.466999014431758E-3</v>
      </c>
      <c r="BV45" s="463">
        <f t="shared" si="113"/>
        <v>4.6839257513635081E-3</v>
      </c>
      <c r="BW45" s="463">
        <f t="shared" si="114"/>
        <v>0</v>
      </c>
      <c r="BX45" s="463">
        <f t="shared" si="115"/>
        <v>1.0256544286900817E-2</v>
      </c>
      <c r="BY45" s="463">
        <f t="shared" si="116"/>
        <v>1.806222222222223E-2</v>
      </c>
      <c r="BZ45" s="147">
        <f t="shared" si="62"/>
        <v>28.318766509123044</v>
      </c>
      <c r="CA45" s="153">
        <f t="shared" si="63"/>
        <v>0.10205764804509895</v>
      </c>
      <c r="CB45" s="5">
        <f t="shared" si="64"/>
        <v>0.80000000000000016</v>
      </c>
      <c r="CC45" s="153">
        <f t="shared" si="65"/>
        <v>0.88686127957977634</v>
      </c>
      <c r="CD45" s="5">
        <f t="shared" si="66"/>
        <v>88.686127957977632</v>
      </c>
      <c r="CG45" s="59">
        <f t="shared" si="117"/>
        <v>-50</v>
      </c>
      <c r="CH45">
        <f t="shared" si="118"/>
        <v>-50</v>
      </c>
    </row>
    <row r="46" spans="5:86" x14ac:dyDescent="0.25">
      <c r="E46" s="150">
        <v>41</v>
      </c>
      <c r="F46" s="191">
        <f t="shared" si="119"/>
        <v>4.1000000000000002E-2</v>
      </c>
      <c r="G46" s="191"/>
      <c r="H46" s="191">
        <f t="shared" si="67"/>
        <v>0.82000000000000006</v>
      </c>
      <c r="I46" s="472">
        <f t="shared" si="68"/>
        <v>20</v>
      </c>
      <c r="J46" s="152">
        <f t="shared" si="69"/>
        <v>20.32</v>
      </c>
      <c r="K46" s="386">
        <f t="shared" si="70"/>
        <v>40.32</v>
      </c>
      <c r="L46" s="386"/>
      <c r="M46" s="191">
        <f t="shared" si="71"/>
        <v>0.50396825396825395</v>
      </c>
      <c r="N46" s="152">
        <f t="shared" si="72"/>
        <v>3.4017857142857144</v>
      </c>
      <c r="O46" s="152">
        <f t="shared" si="53"/>
        <v>0.82000000000000006</v>
      </c>
      <c r="P46" s="191">
        <f t="shared" si="73"/>
        <v>0.17008928571428572</v>
      </c>
      <c r="Q46" s="191">
        <f t="shared" si="74"/>
        <v>20</v>
      </c>
      <c r="R46" s="191">
        <f t="shared" si="75"/>
        <v>0.18898809523809523</v>
      </c>
      <c r="S46" s="152">
        <f t="shared" si="76"/>
        <v>144.67828479461178</v>
      </c>
      <c r="T46" s="152">
        <f t="shared" si="77"/>
        <v>20</v>
      </c>
      <c r="U46" s="191">
        <f t="shared" si="78"/>
        <v>0.18078740157480316</v>
      </c>
      <c r="V46" s="191">
        <f t="shared" si="79"/>
        <v>1.3559055118110237</v>
      </c>
      <c r="W46" s="191">
        <f t="shared" si="80"/>
        <v>1.3345526691053382</v>
      </c>
      <c r="X46" s="175">
        <f t="shared" si="81"/>
        <v>350</v>
      </c>
      <c r="Y46" s="386">
        <f t="shared" si="54"/>
        <v>350</v>
      </c>
      <c r="AA46" s="191">
        <f t="shared" si="82"/>
        <v>0.19198790627362058</v>
      </c>
      <c r="AB46" s="153">
        <f t="shared" si="83"/>
        <v>1.4172335600907029</v>
      </c>
      <c r="AC46" s="153">
        <f t="shared" si="84"/>
        <v>4.7616048182941621E-2</v>
      </c>
      <c r="AD46" s="153"/>
      <c r="AE46" s="153">
        <f t="shared" si="85"/>
        <v>1.1072834645669289</v>
      </c>
      <c r="AF46" s="317">
        <f t="shared" si="86"/>
        <v>493.7007407407408</v>
      </c>
      <c r="AG46" s="463">
        <f t="shared" si="87"/>
        <v>2.9066190944881887E-2</v>
      </c>
      <c r="AI46" s="153">
        <f t="shared" si="88"/>
        <v>0.18778801512433807</v>
      </c>
      <c r="AJ46" s="153">
        <f t="shared" si="89"/>
        <v>0.18778801512433807</v>
      </c>
      <c r="AK46" s="153">
        <f t="shared" si="90"/>
        <v>1.2251920100828919</v>
      </c>
      <c r="AM46" s="317">
        <f t="shared" si="91"/>
        <v>41</v>
      </c>
      <c r="AN46" s="147">
        <f t="shared" si="92"/>
        <v>350</v>
      </c>
      <c r="AP46">
        <f t="shared" si="93"/>
        <v>41</v>
      </c>
      <c r="AQ46" s="147">
        <f t="shared" si="94"/>
        <v>350</v>
      </c>
      <c r="AR46" s="147"/>
      <c r="AS46" s="5">
        <f t="shared" si="55"/>
        <v>2.8571428571428572</v>
      </c>
      <c r="AT46" s="5">
        <f t="shared" si="95"/>
        <v>1.4084101134325353</v>
      </c>
      <c r="AU46" s="5">
        <f t="shared" si="56"/>
        <v>1.4487327437103219</v>
      </c>
      <c r="AV46" s="5">
        <f t="shared" si="96"/>
        <v>1.3862304266068262</v>
      </c>
      <c r="AW46" s="153">
        <f t="shared" si="57"/>
        <v>0.49294353970138732</v>
      </c>
      <c r="AX46" s="153">
        <f t="shared" si="97"/>
        <v>0.92568888888888867</v>
      </c>
      <c r="AY46" s="153">
        <f t="shared" si="98"/>
        <v>4.7609563117724608E-2</v>
      </c>
      <c r="AZ46" s="153">
        <f t="shared" si="58"/>
        <v>19.4433392845872</v>
      </c>
      <c r="BA46" s="147">
        <f t="shared" si="99"/>
        <v>5.9640482169430262</v>
      </c>
      <c r="BB46" s="147">
        <f t="shared" si="100"/>
        <v>3.0205262519999998</v>
      </c>
      <c r="BC46" s="5">
        <f t="shared" si="101"/>
        <v>6.5997824991247997E-2</v>
      </c>
      <c r="BD46" s="147">
        <f t="shared" si="102"/>
        <v>6.7364491657914671</v>
      </c>
      <c r="BE46" s="5"/>
      <c r="BF46" s="153">
        <f t="shared" si="59"/>
        <v>7.6121236429592662E-2</v>
      </c>
      <c r="BG46" s="153">
        <f t="shared" si="103"/>
        <v>7.7203218235228147E-2</v>
      </c>
      <c r="BH46" s="153"/>
      <c r="BI46" s="463">
        <f t="shared" si="104"/>
        <v>2.0280549224494806E-3</v>
      </c>
      <c r="BJ46" s="463">
        <f t="shared" si="105"/>
        <v>1.3250322347173295E-2</v>
      </c>
      <c r="BK46" s="463">
        <f t="shared" si="106"/>
        <v>4.3749999999999995E-3</v>
      </c>
      <c r="BL46" s="463">
        <f t="shared" si="107"/>
        <v>2.8449792000000005E-2</v>
      </c>
      <c r="BM46">
        <f t="shared" si="108"/>
        <v>5.7999999999999996E-3</v>
      </c>
      <c r="BN46">
        <f t="shared" si="109"/>
        <v>1.3124999999999999E-5</v>
      </c>
      <c r="BO46" s="463">
        <f t="shared" si="110"/>
        <v>5.4210365909248305E-2</v>
      </c>
      <c r="BP46" s="147">
        <f t="shared" si="60"/>
        <v>54.210365909248303</v>
      </c>
      <c r="BQ46" s="463">
        <f t="shared" si="111"/>
        <v>2.0215697396089468E-2</v>
      </c>
      <c r="BR46" s="463"/>
      <c r="BT46" s="147">
        <f t="shared" si="61"/>
        <v>20.215697396089467</v>
      </c>
      <c r="BU46" s="463">
        <f t="shared" si="112"/>
        <v>4.6355541084559561E-3</v>
      </c>
      <c r="BV46" s="463">
        <f t="shared" si="113"/>
        <v>4.7444281770775065E-3</v>
      </c>
      <c r="BW46" s="463">
        <f t="shared" si="114"/>
        <v>0</v>
      </c>
      <c r="BX46" s="463">
        <f t="shared" si="115"/>
        <v>1.0513469452375301E-2</v>
      </c>
      <c r="BY46" s="463">
        <f t="shared" si="116"/>
        <v>1.8513777777777778E-2</v>
      </c>
      <c r="BZ46" s="147">
        <f t="shared" si="62"/>
        <v>29.02724723015308</v>
      </c>
      <c r="CA46" s="153">
        <f t="shared" si="63"/>
        <v>0.10345331053549085</v>
      </c>
      <c r="CB46" s="5">
        <f t="shared" si="64"/>
        <v>0.82000000000000006</v>
      </c>
      <c r="CC46" s="153">
        <f t="shared" si="65"/>
        <v>0.88797126031688545</v>
      </c>
      <c r="CD46" s="5">
        <f t="shared" si="66"/>
        <v>88.797126031688549</v>
      </c>
      <c r="CG46" s="59">
        <f t="shared" si="117"/>
        <v>-50</v>
      </c>
      <c r="CH46">
        <f t="shared" si="118"/>
        <v>-50</v>
      </c>
    </row>
    <row r="47" spans="5:86" x14ac:dyDescent="0.25">
      <c r="E47" s="150">
        <v>42</v>
      </c>
      <c r="F47" s="191">
        <f t="shared" si="119"/>
        <v>4.2000000000000003E-2</v>
      </c>
      <c r="G47" s="191"/>
      <c r="H47" s="191">
        <f t="shared" si="67"/>
        <v>0.84000000000000008</v>
      </c>
      <c r="I47" s="472">
        <f t="shared" si="68"/>
        <v>20</v>
      </c>
      <c r="J47" s="152">
        <f t="shared" si="69"/>
        <v>20.32</v>
      </c>
      <c r="K47" s="386">
        <f t="shared" si="70"/>
        <v>40.32</v>
      </c>
      <c r="L47" s="386"/>
      <c r="M47" s="191">
        <f t="shared" si="71"/>
        <v>0.50396825396825395</v>
      </c>
      <c r="N47" s="152">
        <f t="shared" si="72"/>
        <v>3.4017857142857144</v>
      </c>
      <c r="O47" s="152">
        <f t="shared" si="53"/>
        <v>0.84000000000000008</v>
      </c>
      <c r="P47" s="191">
        <f t="shared" si="73"/>
        <v>0.17008928571428572</v>
      </c>
      <c r="Q47" s="191">
        <f t="shared" si="74"/>
        <v>20</v>
      </c>
      <c r="R47" s="191">
        <f t="shared" si="75"/>
        <v>0.18898809523809523</v>
      </c>
      <c r="S47" s="152">
        <f t="shared" si="76"/>
        <v>140.75965015907121</v>
      </c>
      <c r="T47" s="152">
        <f t="shared" si="77"/>
        <v>20</v>
      </c>
      <c r="U47" s="191">
        <f t="shared" si="78"/>
        <v>0.18519685039370082</v>
      </c>
      <c r="V47" s="191">
        <f t="shared" si="79"/>
        <v>1.388976377952756</v>
      </c>
      <c r="W47" s="191">
        <f t="shared" si="80"/>
        <v>1.3671027342054685</v>
      </c>
      <c r="X47" s="175">
        <f t="shared" si="81"/>
        <v>350</v>
      </c>
      <c r="Y47" s="386">
        <f t="shared" si="54"/>
        <v>350</v>
      </c>
      <c r="AA47" s="191">
        <f t="shared" si="82"/>
        <v>0.19198790627362058</v>
      </c>
      <c r="AB47" s="153">
        <f t="shared" si="83"/>
        <v>1.4172335600907029</v>
      </c>
      <c r="AC47" s="153">
        <f t="shared" si="84"/>
        <v>4.7616048182941621E-2</v>
      </c>
      <c r="AD47" s="153"/>
      <c r="AE47" s="153">
        <f t="shared" si="85"/>
        <v>1.1072834645669289</v>
      </c>
      <c r="AF47" s="317">
        <f t="shared" si="86"/>
        <v>505.74222222222232</v>
      </c>
      <c r="AG47" s="463">
        <f t="shared" si="87"/>
        <v>2.9066190944881887E-2</v>
      </c>
      <c r="AI47" s="153">
        <f t="shared" si="88"/>
        <v>0.19006431659952494</v>
      </c>
      <c r="AJ47" s="153">
        <f t="shared" si="89"/>
        <v>0.19006431659952494</v>
      </c>
      <c r="AK47" s="153">
        <f t="shared" si="90"/>
        <v>1.2267095443996832</v>
      </c>
      <c r="AM47" s="317">
        <f t="shared" si="91"/>
        <v>42</v>
      </c>
      <c r="AN47" s="147">
        <f t="shared" si="92"/>
        <v>350</v>
      </c>
      <c r="AP47">
        <f t="shared" si="93"/>
        <v>42</v>
      </c>
      <c r="AQ47" s="147">
        <f t="shared" si="94"/>
        <v>350</v>
      </c>
      <c r="AR47" s="147"/>
      <c r="AS47" s="5">
        <f t="shared" si="55"/>
        <v>2.8571428571428572</v>
      </c>
      <c r="AT47" s="5">
        <f t="shared" si="95"/>
        <v>1.4254823744964371</v>
      </c>
      <c r="AU47" s="5">
        <f t="shared" si="56"/>
        <v>1.4316604826464201</v>
      </c>
      <c r="AV47" s="5">
        <f t="shared" si="96"/>
        <v>1.4030338331657843</v>
      </c>
      <c r="AW47" s="153">
        <f t="shared" si="57"/>
        <v>0.49891883107375296</v>
      </c>
      <c r="AX47" s="153">
        <f t="shared" si="97"/>
        <v>0.94826666666666692</v>
      </c>
      <c r="AY47" s="153">
        <f t="shared" si="98"/>
        <v>4.7618824966429135E-2</v>
      </c>
      <c r="AZ47" s="153">
        <f t="shared" si="58"/>
        <v>19.913693110554217</v>
      </c>
      <c r="BA47" s="147">
        <f t="shared" si="99"/>
        <v>5.9640482169430262</v>
      </c>
      <c r="BB47" s="147">
        <f t="shared" si="100"/>
        <v>3.1665926880000002</v>
      </c>
      <c r="BC47" s="5">
        <f t="shared" si="101"/>
        <v>6.6810822523499611E-2</v>
      </c>
      <c r="BD47" s="147">
        <f t="shared" si="102"/>
        <v>6.821082252349961</v>
      </c>
      <c r="BE47" s="5"/>
      <c r="BF47" s="153">
        <f t="shared" si="59"/>
        <v>7.7509495322424751E-2</v>
      </c>
      <c r="BG47" s="153">
        <f t="shared" si="103"/>
        <v>7.7677278636320027E-2</v>
      </c>
      <c r="BH47" s="153"/>
      <c r="BI47" s="463">
        <f t="shared" si="104"/>
        <v>2.1027026527979443E-3</v>
      </c>
      <c r="BJ47" s="463">
        <f t="shared" si="105"/>
        <v>1.3410938179262481E-2</v>
      </c>
      <c r="BK47" s="463">
        <f t="shared" si="106"/>
        <v>4.3749999999999995E-3</v>
      </c>
      <c r="BL47" s="463">
        <f t="shared" si="107"/>
        <v>2.8449792000000005E-2</v>
      </c>
      <c r="BM47">
        <f t="shared" si="108"/>
        <v>5.7999999999999996E-3</v>
      </c>
      <c r="BN47">
        <f t="shared" si="109"/>
        <v>1.3124999999999999E-5</v>
      </c>
      <c r="BO47" s="463">
        <f t="shared" si="110"/>
        <v>5.4456549034294671E-2</v>
      </c>
      <c r="BP47" s="147">
        <f t="shared" si="60"/>
        <v>54.456549034294675</v>
      </c>
      <c r="BQ47" s="463">
        <f t="shared" si="111"/>
        <v>2.06537923468872E-2</v>
      </c>
      <c r="BR47" s="463"/>
      <c r="BT47" s="147">
        <f t="shared" si="61"/>
        <v>20.653792346887201</v>
      </c>
      <c r="BU47" s="463">
        <f t="shared" si="112"/>
        <v>4.8061774921095875E-3</v>
      </c>
      <c r="BV47" s="463">
        <f t="shared" si="113"/>
        <v>4.8028726546102216E-3</v>
      </c>
      <c r="BW47" s="463">
        <f t="shared" si="114"/>
        <v>0</v>
      </c>
      <c r="BX47" s="463">
        <f t="shared" si="115"/>
        <v>1.077041564144616E-2</v>
      </c>
      <c r="BY47" s="463">
        <f t="shared" si="116"/>
        <v>1.8965333333333338E-2</v>
      </c>
      <c r="BZ47" s="147">
        <f t="shared" si="62"/>
        <v>29.735748974779501</v>
      </c>
      <c r="CA47" s="153">
        <f t="shared" si="63"/>
        <v>0.10484609035596137</v>
      </c>
      <c r="CB47" s="5">
        <f t="shared" si="64"/>
        <v>0.84000000000000008</v>
      </c>
      <c r="CC47" s="153">
        <f t="shared" si="65"/>
        <v>0.88903368344736267</v>
      </c>
      <c r="CD47" s="5">
        <f t="shared" si="66"/>
        <v>88.903368344736265</v>
      </c>
      <c r="CG47" s="59">
        <f t="shared" si="117"/>
        <v>-50</v>
      </c>
      <c r="CH47">
        <f t="shared" si="118"/>
        <v>-50</v>
      </c>
    </row>
    <row r="48" spans="5:86" x14ac:dyDescent="0.25">
      <c r="E48" s="150">
        <v>43</v>
      </c>
      <c r="F48" s="191">
        <f t="shared" si="119"/>
        <v>4.3000000000000003E-2</v>
      </c>
      <c r="G48" s="191"/>
      <c r="H48" s="191">
        <f t="shared" si="67"/>
        <v>0.8600000000000001</v>
      </c>
      <c r="I48" s="472">
        <f t="shared" si="68"/>
        <v>20</v>
      </c>
      <c r="J48" s="152">
        <f t="shared" si="69"/>
        <v>20.32</v>
      </c>
      <c r="K48" s="386">
        <f t="shared" si="70"/>
        <v>40.32</v>
      </c>
      <c r="L48" s="386"/>
      <c r="M48" s="191">
        <f t="shared" si="71"/>
        <v>0.50396825396825395</v>
      </c>
      <c r="N48" s="152">
        <f t="shared" si="72"/>
        <v>3.4017857142857144</v>
      </c>
      <c r="O48" s="152">
        <f t="shared" si="53"/>
        <v>0.8600000000000001</v>
      </c>
      <c r="P48" s="191">
        <f t="shared" si="73"/>
        <v>0.17008928571428572</v>
      </c>
      <c r="Q48" s="191">
        <f t="shared" si="74"/>
        <v>20</v>
      </c>
      <c r="R48" s="191">
        <f t="shared" si="75"/>
        <v>0.18898809523809523</v>
      </c>
      <c r="S48" s="152">
        <f t="shared" si="76"/>
        <v>137.02334273150723</v>
      </c>
      <c r="T48" s="152">
        <f t="shared" si="77"/>
        <v>20</v>
      </c>
      <c r="U48" s="191">
        <f t="shared" si="78"/>
        <v>0.18960629921259844</v>
      </c>
      <c r="V48" s="191">
        <f t="shared" si="79"/>
        <v>1.4220472440944882</v>
      </c>
      <c r="W48" s="191">
        <f t="shared" si="80"/>
        <v>1.3996527993055985</v>
      </c>
      <c r="X48" s="175">
        <f t="shared" si="81"/>
        <v>350</v>
      </c>
      <c r="Y48" s="386">
        <f t="shared" si="54"/>
        <v>350</v>
      </c>
      <c r="AA48" s="191">
        <f t="shared" si="82"/>
        <v>0.19198790627362058</v>
      </c>
      <c r="AB48" s="153">
        <f t="shared" si="83"/>
        <v>1.4172335600907029</v>
      </c>
      <c r="AC48" s="153">
        <f t="shared" si="84"/>
        <v>4.7616048182941621E-2</v>
      </c>
      <c r="AD48" s="153"/>
      <c r="AE48" s="153">
        <f t="shared" si="85"/>
        <v>1.1072834645669289</v>
      </c>
      <c r="AF48" s="317">
        <f t="shared" si="86"/>
        <v>517.78370370370374</v>
      </c>
      <c r="AG48" s="463">
        <f t="shared" si="87"/>
        <v>2.9066190944881887E-2</v>
      </c>
      <c r="AI48" s="153">
        <f t="shared" si="88"/>
        <v>0.19231367674856167</v>
      </c>
      <c r="AJ48" s="153">
        <f t="shared" si="89"/>
        <v>0.19231367674856167</v>
      </c>
      <c r="AK48" s="153">
        <f t="shared" si="90"/>
        <v>1.2282091178323744</v>
      </c>
      <c r="AM48" s="317">
        <f t="shared" si="91"/>
        <v>43</v>
      </c>
      <c r="AN48" s="147">
        <f t="shared" si="92"/>
        <v>350</v>
      </c>
      <c r="AP48">
        <f t="shared" si="93"/>
        <v>43</v>
      </c>
      <c r="AQ48" s="147">
        <f t="shared" si="94"/>
        <v>350</v>
      </c>
      <c r="AR48" s="147"/>
      <c r="AS48" s="5">
        <f t="shared" si="55"/>
        <v>2.8571428571428572</v>
      </c>
      <c r="AT48" s="5">
        <f t="shared" si="95"/>
        <v>1.4423525756142124</v>
      </c>
      <c r="AU48" s="5">
        <f t="shared" si="56"/>
        <v>1.4147902815286448</v>
      </c>
      <c r="AV48" s="5">
        <f t="shared" si="96"/>
        <v>1.4196383618250124</v>
      </c>
      <c r="AW48" s="153">
        <f t="shared" si="57"/>
        <v>0.50482340146497429</v>
      </c>
      <c r="AX48" s="153">
        <f t="shared" si="97"/>
        <v>0.97084444444444451</v>
      </c>
      <c r="AY48" s="153">
        <f t="shared" si="98"/>
        <v>4.7614616152058614E-2</v>
      </c>
      <c r="AZ48" s="153">
        <f t="shared" si="58"/>
        <v>20.389630808826126</v>
      </c>
      <c r="BA48" s="147">
        <f t="shared" si="99"/>
        <v>5.9640482169430262</v>
      </c>
      <c r="BB48" s="147">
        <f t="shared" si="100"/>
        <v>3.3161065080000003</v>
      </c>
      <c r="BC48" s="5">
        <f t="shared" si="101"/>
        <v>6.7595535673035251E-2</v>
      </c>
      <c r="BD48" s="147">
        <f t="shared" si="102"/>
        <v>6.9028869006368581</v>
      </c>
      <c r="BE48" s="5"/>
      <c r="BF48" s="153">
        <f t="shared" si="59"/>
        <v>7.8889514440983813E-2</v>
      </c>
      <c r="BG48" s="153">
        <f t="shared" si="103"/>
        <v>7.8132118445505896E-2</v>
      </c>
      <c r="BH48" s="153"/>
      <c r="BI48" s="463">
        <f t="shared" si="104"/>
        <v>2.1782444210569677E-3</v>
      </c>
      <c r="BJ48" s="463">
        <f t="shared" si="105"/>
        <v>1.3569653031378512E-2</v>
      </c>
      <c r="BK48" s="463">
        <f t="shared" si="106"/>
        <v>4.3749999999999995E-3</v>
      </c>
      <c r="BL48" s="463">
        <f t="shared" si="107"/>
        <v>2.8449792000000005E-2</v>
      </c>
      <c r="BM48">
        <f t="shared" si="108"/>
        <v>5.7999999999999996E-3</v>
      </c>
      <c r="BN48">
        <f t="shared" si="109"/>
        <v>1.3124999999999999E-5</v>
      </c>
      <c r="BO48" s="463">
        <f t="shared" si="110"/>
        <v>5.4701861366769571E-2</v>
      </c>
      <c r="BP48" s="147">
        <f t="shared" si="60"/>
        <v>54.70186136676957</v>
      </c>
      <c r="BQ48" s="463">
        <f t="shared" si="111"/>
        <v>2.1089935740645882E-2</v>
      </c>
      <c r="BR48" s="463"/>
      <c r="BT48" s="147">
        <f t="shared" si="61"/>
        <v>21.089935740645881</v>
      </c>
      <c r="BU48" s="463">
        <f t="shared" si="112"/>
        <v>4.978844390987355E-3</v>
      </c>
      <c r="BV48" s="463">
        <f t="shared" si="113"/>
        <v>4.85928383449492E-3</v>
      </c>
      <c r="BW48" s="463">
        <f t="shared" si="114"/>
        <v>0</v>
      </c>
      <c r="BX48" s="463">
        <f t="shared" si="115"/>
        <v>1.1027382716953017E-2</v>
      </c>
      <c r="BY48" s="463">
        <f t="shared" si="116"/>
        <v>1.9416888888888893E-2</v>
      </c>
      <c r="BZ48" s="147">
        <f t="shared" si="62"/>
        <v>30.444271605841909</v>
      </c>
      <c r="CA48" s="153">
        <f t="shared" si="63"/>
        <v>0.10623606871325736</v>
      </c>
      <c r="CB48" s="5">
        <f t="shared" si="64"/>
        <v>0.8600000000000001</v>
      </c>
      <c r="CC48" s="153">
        <f t="shared" si="65"/>
        <v>0.89005164249898838</v>
      </c>
      <c r="CD48" s="5">
        <f t="shared" si="66"/>
        <v>89.00516424989884</v>
      </c>
      <c r="CG48" s="59">
        <f t="shared" si="117"/>
        <v>-50</v>
      </c>
      <c r="CH48">
        <f t="shared" si="118"/>
        <v>-50</v>
      </c>
    </row>
    <row r="49" spans="5:86" x14ac:dyDescent="0.25">
      <c r="E49" s="150">
        <v>44</v>
      </c>
      <c r="F49" s="191">
        <f t="shared" si="119"/>
        <v>4.4000000000000004E-2</v>
      </c>
      <c r="G49" s="191"/>
      <c r="H49" s="191">
        <f t="shared" si="67"/>
        <v>0.88000000000000012</v>
      </c>
      <c r="I49" s="472">
        <f t="shared" si="68"/>
        <v>20</v>
      </c>
      <c r="J49" s="152">
        <f t="shared" si="69"/>
        <v>20.32</v>
      </c>
      <c r="K49" s="386">
        <f t="shared" si="70"/>
        <v>40.32</v>
      </c>
      <c r="L49" s="386"/>
      <c r="M49" s="191">
        <f t="shared" si="71"/>
        <v>0.50396825396825395</v>
      </c>
      <c r="N49" s="152">
        <f t="shared" si="72"/>
        <v>3.4017857142857144</v>
      </c>
      <c r="O49" s="152">
        <f t="shared" si="53"/>
        <v>0.88000000000000012</v>
      </c>
      <c r="P49" s="191">
        <f t="shared" si="73"/>
        <v>0.17008928571428572</v>
      </c>
      <c r="Q49" s="191">
        <f t="shared" si="74"/>
        <v>20</v>
      </c>
      <c r="R49" s="191">
        <f t="shared" si="75"/>
        <v>0.18898809523809523</v>
      </c>
      <c r="S49" s="152">
        <f t="shared" si="76"/>
        <v>133.45693174320635</v>
      </c>
      <c r="T49" s="152">
        <f t="shared" si="77"/>
        <v>20</v>
      </c>
      <c r="U49" s="191">
        <f t="shared" si="78"/>
        <v>0.1940157480314961</v>
      </c>
      <c r="V49" s="191">
        <f t="shared" si="79"/>
        <v>1.4551181102362207</v>
      </c>
      <c r="W49" s="191">
        <f t="shared" si="80"/>
        <v>1.4322028644057287</v>
      </c>
      <c r="X49" s="175">
        <f t="shared" si="81"/>
        <v>350</v>
      </c>
      <c r="Y49" s="386">
        <f t="shared" si="54"/>
        <v>346.34181955610529</v>
      </c>
      <c r="AA49" s="191">
        <f t="shared" si="82"/>
        <v>0.19198790627362058</v>
      </c>
      <c r="AB49" s="153">
        <f t="shared" si="83"/>
        <v>1.4172335600907029</v>
      </c>
      <c r="AC49" s="153">
        <f t="shared" si="84"/>
        <v>4.7616048182941621E-2</v>
      </c>
      <c r="AD49" s="153"/>
      <c r="AE49" s="153">
        <f t="shared" si="85"/>
        <v>1.1072834645669289</v>
      </c>
      <c r="AF49" s="317">
        <f t="shared" si="86"/>
        <v>529.82518518518532</v>
      </c>
      <c r="AG49" s="463">
        <f t="shared" si="87"/>
        <v>2.9066190944881887E-2</v>
      </c>
      <c r="AI49" s="153">
        <f t="shared" si="88"/>
        <v>0.19453703011163734</v>
      </c>
      <c r="AJ49" s="153">
        <f t="shared" si="89"/>
        <v>0.19453703011163734</v>
      </c>
      <c r="AK49" s="153">
        <f t="shared" si="90"/>
        <v>1.2296913534077583</v>
      </c>
      <c r="AM49" s="317">
        <f t="shared" si="91"/>
        <v>44.000000000000007</v>
      </c>
      <c r="AN49" s="147">
        <f t="shared" si="92"/>
        <v>346.34181955610529</v>
      </c>
      <c r="AP49">
        <f t="shared" si="93"/>
        <v>44.000000000000007</v>
      </c>
      <c r="AQ49" s="147">
        <f t="shared" si="94"/>
        <v>346.34181955610529</v>
      </c>
      <c r="AR49" s="147"/>
      <c r="AS49" s="5">
        <f t="shared" si="55"/>
        <v>2.8873209746419493</v>
      </c>
      <c r="AT49" s="5">
        <f t="shared" si="95"/>
        <v>1.4590277258372799</v>
      </c>
      <c r="AU49" s="5">
        <f t="shared" si="56"/>
        <v>1.4282932488046693</v>
      </c>
      <c r="AV49" s="5">
        <f t="shared" si="96"/>
        <v>1.4360509112571653</v>
      </c>
      <c r="AW49" s="153">
        <f t="shared" si="57"/>
        <v>0.50532231734928978</v>
      </c>
      <c r="AX49" s="153">
        <f t="shared" si="97"/>
        <v>0.98303902866261161</v>
      </c>
      <c r="AY49" s="153">
        <f t="shared" si="98"/>
        <v>4.8116563622688097E-2</v>
      </c>
      <c r="AZ49" s="153">
        <f t="shared" si="58"/>
        <v>20.430366481929841</v>
      </c>
      <c r="BA49" s="147">
        <f t="shared" si="99"/>
        <v>5.9640482169430262</v>
      </c>
      <c r="BB49" s="147">
        <f t="shared" si="100"/>
        <v>3.4690677120000006</v>
      </c>
      <c r="BC49" s="5">
        <f t="shared" si="101"/>
        <v>6.9827669941561615E-2</v>
      </c>
      <c r="BD49" s="147">
        <f t="shared" si="102"/>
        <v>7.1294336608228281</v>
      </c>
      <c r="BE49" s="5"/>
      <c r="BF49" s="153">
        <f t="shared" si="59"/>
        <v>7.9840986366621902E-2</v>
      </c>
      <c r="BG49" s="153">
        <f t="shared" si="103"/>
        <v>7.8995583785151716E-2</v>
      </c>
      <c r="BH49" s="153"/>
      <c r="BI49" s="463">
        <f t="shared" si="104"/>
        <v>2.2311040863982863E-3</v>
      </c>
      <c r="BJ49" s="463">
        <f t="shared" si="105"/>
        <v>1.3583063890348914E-2</v>
      </c>
      <c r="BK49" s="463">
        <f t="shared" si="106"/>
        <v>4.329272744451316E-3</v>
      </c>
      <c r="BL49" s="463">
        <f t="shared" si="107"/>
        <v>2.815243636363637E-2</v>
      </c>
      <c r="BM49">
        <f t="shared" si="108"/>
        <v>5.7999999999999996E-3</v>
      </c>
      <c r="BN49">
        <f t="shared" si="109"/>
        <v>1.2987818233353947E-5</v>
      </c>
      <c r="BO49" s="463">
        <f t="shared" si="110"/>
        <v>5.4432470466327043E-2</v>
      </c>
      <c r="BP49" s="147">
        <f t="shared" si="60"/>
        <v>54.432470466327047</v>
      </c>
      <c r="BQ49" s="463">
        <f t="shared" si="111"/>
        <v>2.1575590924773493E-2</v>
      </c>
      <c r="BR49" s="463"/>
      <c r="BT49" s="147">
        <f t="shared" si="61"/>
        <v>21.575590924773493</v>
      </c>
      <c r="BU49" s="463">
        <f t="shared" si="112"/>
        <v>5.0996664831960839E-3</v>
      </c>
      <c r="BV49" s="463">
        <f t="shared" si="113"/>
        <v>4.9672805970153123E-3</v>
      </c>
      <c r="BW49" s="463">
        <f t="shared" si="114"/>
        <v>0</v>
      </c>
      <c r="BX49" s="463">
        <f t="shared" si="115"/>
        <v>1.1284068419406977E-2</v>
      </c>
      <c r="BY49" s="463">
        <f t="shared" si="116"/>
        <v>1.9660780573252233E-2</v>
      </c>
      <c r="BZ49" s="147">
        <f t="shared" si="62"/>
        <v>30.94484899265921</v>
      </c>
      <c r="CA49" s="153">
        <f t="shared" si="63"/>
        <v>0.10695291038375973</v>
      </c>
      <c r="CB49" s="5">
        <f t="shared" si="64"/>
        <v>0.88000000000000012</v>
      </c>
      <c r="CC49" s="153">
        <f t="shared" si="65"/>
        <v>0.89163321850667332</v>
      </c>
      <c r="CD49" s="5">
        <f t="shared" si="66"/>
        <v>89.16332185066733</v>
      </c>
      <c r="CG49" s="59">
        <f t="shared" si="117"/>
        <v>-50</v>
      </c>
      <c r="CH49">
        <f t="shared" si="118"/>
        <v>-50</v>
      </c>
    </row>
    <row r="50" spans="5:86" x14ac:dyDescent="0.25">
      <c r="E50" s="150">
        <v>45</v>
      </c>
      <c r="F50" s="191">
        <f t="shared" si="119"/>
        <v>4.5000000000000005E-2</v>
      </c>
      <c r="G50" s="191"/>
      <c r="H50" s="191">
        <f t="shared" si="67"/>
        <v>0.90000000000000013</v>
      </c>
      <c r="I50" s="472">
        <f t="shared" si="68"/>
        <v>20</v>
      </c>
      <c r="J50" s="152">
        <f t="shared" si="69"/>
        <v>20.32</v>
      </c>
      <c r="K50" s="386">
        <f t="shared" si="70"/>
        <v>40.32</v>
      </c>
      <c r="L50" s="386"/>
      <c r="M50" s="191">
        <f t="shared" si="71"/>
        <v>0.50396825396825395</v>
      </c>
      <c r="N50" s="152">
        <f t="shared" si="72"/>
        <v>3.4017857142857144</v>
      </c>
      <c r="O50" s="152">
        <f t="shared" si="53"/>
        <v>0.90000000000000013</v>
      </c>
      <c r="P50" s="191">
        <f t="shared" si="73"/>
        <v>0.17008928571428572</v>
      </c>
      <c r="Q50" s="191">
        <f t="shared" si="74"/>
        <v>20</v>
      </c>
      <c r="R50" s="191">
        <f t="shared" si="75"/>
        <v>0.18898809523809523</v>
      </c>
      <c r="S50" s="152">
        <f t="shared" si="76"/>
        <v>130.04909139069488</v>
      </c>
      <c r="T50" s="152">
        <f t="shared" si="77"/>
        <v>20</v>
      </c>
      <c r="U50" s="191">
        <f t="shared" si="78"/>
        <v>0.19842519685039373</v>
      </c>
      <c r="V50" s="191">
        <f t="shared" si="79"/>
        <v>1.4881889763779528</v>
      </c>
      <c r="W50" s="191">
        <f t="shared" si="80"/>
        <v>1.464752929505859</v>
      </c>
      <c r="X50" s="175">
        <f t="shared" si="81"/>
        <v>350</v>
      </c>
      <c r="Y50" s="386">
        <f t="shared" si="54"/>
        <v>338.64533467708077</v>
      </c>
      <c r="AA50" s="191">
        <f t="shared" si="82"/>
        <v>0.19198790627362058</v>
      </c>
      <c r="AB50" s="153">
        <f t="shared" si="83"/>
        <v>1.4172335600907029</v>
      </c>
      <c r="AC50" s="153">
        <f t="shared" si="84"/>
        <v>4.7616048182941621E-2</v>
      </c>
      <c r="AD50" s="153"/>
      <c r="AE50" s="153">
        <f t="shared" si="85"/>
        <v>1.1072834645669289</v>
      </c>
      <c r="AF50" s="317">
        <f t="shared" si="86"/>
        <v>541.86666666666679</v>
      </c>
      <c r="AG50" s="463">
        <f t="shared" si="87"/>
        <v>2.9066190944881887E-2</v>
      </c>
      <c r="AI50" s="153">
        <f t="shared" si="88"/>
        <v>0.19673525841791023</v>
      </c>
      <c r="AJ50" s="153">
        <f t="shared" si="89"/>
        <v>0.19673525841791023</v>
      </c>
      <c r="AK50" s="153">
        <f t="shared" si="90"/>
        <v>1.2311568389452734</v>
      </c>
      <c r="AM50" s="317">
        <f t="shared" si="91"/>
        <v>45.000000000000007</v>
      </c>
      <c r="AN50" s="147">
        <f t="shared" si="92"/>
        <v>338.64533467708077</v>
      </c>
      <c r="AP50">
        <f t="shared" si="93"/>
        <v>45.000000000000007</v>
      </c>
      <c r="AQ50" s="147">
        <f t="shared" si="94"/>
        <v>338.64533467708077</v>
      </c>
      <c r="AR50" s="147"/>
      <c r="AS50" s="5">
        <f t="shared" si="55"/>
        <v>2.9529419058838111</v>
      </c>
      <c r="AT50" s="5">
        <f t="shared" si="95"/>
        <v>1.4755144381343266</v>
      </c>
      <c r="AU50" s="5">
        <f t="shared" si="56"/>
        <v>1.4774274677494845</v>
      </c>
      <c r="AV50" s="5">
        <f t="shared" si="96"/>
        <v>1.4522779902896914</v>
      </c>
      <c r="AW50" s="153">
        <f t="shared" si="57"/>
        <v>0.49967608072286385</v>
      </c>
      <c r="AX50" s="153">
        <f t="shared" si="97"/>
        <v>0.98303902866261184</v>
      </c>
      <c r="AY50" s="153">
        <f t="shared" si="98"/>
        <v>4.9215677775824522E-2</v>
      </c>
      <c r="AZ50" s="153">
        <f t="shared" si="58"/>
        <v>19.974103234752064</v>
      </c>
      <c r="BA50" s="147">
        <f t="shared" si="99"/>
        <v>5.9640482169430262</v>
      </c>
      <c r="BB50" s="147">
        <f t="shared" si="100"/>
        <v>3.6254762999999999</v>
      </c>
      <c r="BC50" s="5">
        <f t="shared" si="101"/>
        <v>7.3871373387474237E-2</v>
      </c>
      <c r="BD50" s="147">
        <f t="shared" si="102"/>
        <v>7.5371373387474225</v>
      </c>
      <c r="BE50" s="5"/>
      <c r="BF50" s="153">
        <f t="shared" si="59"/>
        <v>8.0290812537680889E-2</v>
      </c>
      <c r="BG50" s="153">
        <f t="shared" si="103"/>
        <v>8.034284488133521E-2</v>
      </c>
      <c r="BH50" s="153"/>
      <c r="BI50" s="463">
        <f t="shared" si="104"/>
        <v>2.2563151022863552E-3</v>
      </c>
      <c r="BJ50" s="463">
        <f t="shared" si="105"/>
        <v>1.3431293049830581E-2</v>
      </c>
      <c r="BK50" s="463">
        <f t="shared" si="106"/>
        <v>4.2330666834635095E-3</v>
      </c>
      <c r="BL50" s="463">
        <f t="shared" si="107"/>
        <v>2.7526826666666677E-2</v>
      </c>
      <c r="BM50">
        <f t="shared" si="108"/>
        <v>5.7999999999999996E-3</v>
      </c>
      <c r="BN50">
        <f t="shared" si="109"/>
        <v>1.2699200050390529E-5</v>
      </c>
      <c r="BO50" s="463">
        <f t="shared" si="110"/>
        <v>5.3587111026863317E-2</v>
      </c>
      <c r="BP50" s="147">
        <f t="shared" si="60"/>
        <v>53.587111026863319</v>
      </c>
      <c r="BQ50" s="463">
        <f t="shared" si="111"/>
        <v>2.2121599160850488E-2</v>
      </c>
      <c r="BR50" s="463"/>
      <c r="BT50" s="147">
        <f t="shared" si="61"/>
        <v>22.121599160850486</v>
      </c>
      <c r="BU50" s="463">
        <f t="shared" si="112"/>
        <v>5.1572916623688122E-3</v>
      </c>
      <c r="BV50" s="463">
        <f t="shared" si="113"/>
        <v>5.1381582880065287E-3</v>
      </c>
      <c r="BW50" s="463">
        <f t="shared" si="114"/>
        <v>0</v>
      </c>
      <c r="BX50" s="463">
        <f t="shared" si="115"/>
        <v>1.1540409040715226E-2</v>
      </c>
      <c r="BY50" s="463">
        <f t="shared" si="116"/>
        <v>1.966078057325224E-2</v>
      </c>
      <c r="BZ50" s="147">
        <f t="shared" si="62"/>
        <v>31.201189613967465</v>
      </c>
      <c r="CA50" s="153">
        <f t="shared" si="63"/>
        <v>0.10690989980168127</v>
      </c>
      <c r="CB50" s="5">
        <f t="shared" si="64"/>
        <v>0.90000000000000013</v>
      </c>
      <c r="CC50" s="153">
        <f t="shared" si="65"/>
        <v>0.89382376732740632</v>
      </c>
      <c r="CD50" s="5">
        <f t="shared" si="66"/>
        <v>89.382376732740624</v>
      </c>
      <c r="CG50" s="59">
        <f t="shared" si="117"/>
        <v>-50</v>
      </c>
      <c r="CH50">
        <f t="shared" si="118"/>
        <v>-50</v>
      </c>
    </row>
    <row r="51" spans="5:86" x14ac:dyDescent="0.25">
      <c r="E51" s="150">
        <v>46</v>
      </c>
      <c r="F51" s="191">
        <f t="shared" si="119"/>
        <v>4.6000000000000006E-2</v>
      </c>
      <c r="G51" s="191"/>
      <c r="H51" s="191">
        <f t="shared" si="67"/>
        <v>0.92000000000000015</v>
      </c>
      <c r="I51" s="472">
        <f t="shared" si="68"/>
        <v>20</v>
      </c>
      <c r="J51" s="152">
        <f t="shared" si="69"/>
        <v>20.32</v>
      </c>
      <c r="K51" s="386">
        <f t="shared" si="70"/>
        <v>40.32</v>
      </c>
      <c r="L51" s="386"/>
      <c r="M51" s="191">
        <f t="shared" si="71"/>
        <v>0.50396825396825395</v>
      </c>
      <c r="N51" s="152">
        <f t="shared" si="72"/>
        <v>3.4017857142857144</v>
      </c>
      <c r="O51" s="152">
        <f t="shared" si="53"/>
        <v>0.92000000000000015</v>
      </c>
      <c r="P51" s="191">
        <f t="shared" si="73"/>
        <v>0.17008928571428572</v>
      </c>
      <c r="Q51" s="191">
        <f t="shared" si="74"/>
        <v>20</v>
      </c>
      <c r="R51" s="191">
        <f t="shared" si="75"/>
        <v>0.18898809523809523</v>
      </c>
      <c r="S51" s="152">
        <f t="shared" si="76"/>
        <v>126.78948073094617</v>
      </c>
      <c r="T51" s="152">
        <f t="shared" si="77"/>
        <v>20</v>
      </c>
      <c r="U51" s="191">
        <f t="shared" si="78"/>
        <v>0.20283464566929138</v>
      </c>
      <c r="V51" s="191">
        <f t="shared" si="79"/>
        <v>1.5212598425196853</v>
      </c>
      <c r="W51" s="191">
        <f t="shared" si="80"/>
        <v>1.4973029946059893</v>
      </c>
      <c r="X51" s="175">
        <f t="shared" si="81"/>
        <v>350</v>
      </c>
      <c r="Y51" s="386">
        <f t="shared" si="54"/>
        <v>331.28347957540501</v>
      </c>
      <c r="AA51" s="191">
        <f t="shared" si="82"/>
        <v>0.19198790627362058</v>
      </c>
      <c r="AB51" s="153">
        <f t="shared" si="83"/>
        <v>1.4172335600907029</v>
      </c>
      <c r="AC51" s="153">
        <f t="shared" si="84"/>
        <v>4.7616048182941621E-2</v>
      </c>
      <c r="AD51" s="153"/>
      <c r="AE51" s="153">
        <f t="shared" si="85"/>
        <v>1.1072834645669289</v>
      </c>
      <c r="AF51" s="317">
        <f t="shared" si="86"/>
        <v>553.90814814814837</v>
      </c>
      <c r="AG51" s="463">
        <f t="shared" si="87"/>
        <v>2.9066190944881887E-2</v>
      </c>
      <c r="AI51" s="153">
        <f t="shared" si="88"/>
        <v>0.19890919467150767</v>
      </c>
      <c r="AJ51" s="153">
        <f t="shared" si="89"/>
        <v>0.19890919467150767</v>
      </c>
      <c r="AK51" s="153">
        <f t="shared" si="90"/>
        <v>1.2326061297810051</v>
      </c>
      <c r="AM51" s="317">
        <f t="shared" si="91"/>
        <v>46.000000000000007</v>
      </c>
      <c r="AN51" s="147">
        <f t="shared" si="92"/>
        <v>331.28347957540501</v>
      </c>
      <c r="AP51">
        <f t="shared" si="93"/>
        <v>46.000000000000007</v>
      </c>
      <c r="AQ51" s="147">
        <f t="shared" si="94"/>
        <v>331.28347957540501</v>
      </c>
      <c r="AR51" s="147"/>
      <c r="AS51" s="5">
        <f t="shared" si="55"/>
        <v>3.0185628371256747</v>
      </c>
      <c r="AT51" s="5">
        <f t="shared" si="95"/>
        <v>1.4918189600363074</v>
      </c>
      <c r="AU51" s="5">
        <f t="shared" si="56"/>
        <v>1.5267438770893673</v>
      </c>
      <c r="AV51" s="5">
        <f t="shared" si="96"/>
        <v>1.4683257480672318</v>
      </c>
      <c r="AW51" s="153">
        <f t="shared" si="57"/>
        <v>0.49421497597738995</v>
      </c>
      <c r="AX51" s="153">
        <f t="shared" si="97"/>
        <v>0.98303902866261139</v>
      </c>
      <c r="AY51" s="153">
        <f t="shared" si="98"/>
        <v>5.0302645902623261E-2</v>
      </c>
      <c r="AZ51" s="153">
        <f t="shared" si="58"/>
        <v>19.542491473820196</v>
      </c>
      <c r="BA51" s="147">
        <f t="shared" si="99"/>
        <v>5.9640482169430262</v>
      </c>
      <c r="BB51" s="147">
        <f t="shared" si="100"/>
        <v>3.7853322720000007</v>
      </c>
      <c r="BC51" s="5">
        <f t="shared" si="101"/>
        <v>7.8033575940123237E-2</v>
      </c>
      <c r="BD51" s="147">
        <f t="shared" si="102"/>
        <v>7.9566909273456554</v>
      </c>
      <c r="BE51" s="5"/>
      <c r="BF51" s="153">
        <f t="shared" si="59"/>
        <v>8.0733202901478979E-2</v>
      </c>
      <c r="BG51" s="153">
        <f t="shared" si="103"/>
        <v>8.1672756723960308E-2</v>
      </c>
      <c r="BH51" s="153"/>
      <c r="BI51" s="463">
        <f t="shared" si="104"/>
        <v>2.2812475177559806E-3</v>
      </c>
      <c r="BJ51" s="463">
        <f t="shared" si="105"/>
        <v>1.3284498554272245E-2</v>
      </c>
      <c r="BK51" s="463">
        <f t="shared" si="106"/>
        <v>4.1410434946925626E-3</v>
      </c>
      <c r="BL51" s="463">
        <f t="shared" si="107"/>
        <v>2.692841739130435E-2</v>
      </c>
      <c r="BM51">
        <f t="shared" si="108"/>
        <v>5.7999999999999996E-3</v>
      </c>
      <c r="BN51">
        <f t="shared" si="109"/>
        <v>1.2423130484077688E-5</v>
      </c>
      <c r="BO51" s="463">
        <f t="shared" si="110"/>
        <v>5.2777812165583908E-2</v>
      </c>
      <c r="BP51" s="147">
        <f t="shared" si="60"/>
        <v>52.77781216558391</v>
      </c>
      <c r="BQ51" s="463">
        <f t="shared" si="111"/>
        <v>2.266821554184088E-2</v>
      </c>
      <c r="BR51" s="463"/>
      <c r="BT51" s="147">
        <f t="shared" si="61"/>
        <v>22.66821554184088</v>
      </c>
      <c r="BU51" s="463">
        <f t="shared" si="112"/>
        <v>5.2142800405850995E-3</v>
      </c>
      <c r="BV51" s="463">
        <f t="shared" si="113"/>
        <v>5.3096695959493978E-3</v>
      </c>
      <c r="BW51" s="463">
        <f t="shared" si="114"/>
        <v>0</v>
      </c>
      <c r="BX51" s="463">
        <f t="shared" si="115"/>
        <v>1.1796755469753693E-2</v>
      </c>
      <c r="BY51" s="463">
        <f t="shared" si="116"/>
        <v>1.966078057325223E-2</v>
      </c>
      <c r="BZ51" s="147">
        <f t="shared" si="62"/>
        <v>31.457536043005927</v>
      </c>
      <c r="CA51" s="153">
        <f t="shared" si="63"/>
        <v>0.10690356375043071</v>
      </c>
      <c r="CB51" s="5">
        <f t="shared" si="64"/>
        <v>0.92000000000000015</v>
      </c>
      <c r="CC51" s="153">
        <f t="shared" si="65"/>
        <v>0.89589717328470431</v>
      </c>
      <c r="CD51" s="5">
        <f t="shared" si="66"/>
        <v>89.589717328470428</v>
      </c>
      <c r="CG51" s="59">
        <f t="shared" si="117"/>
        <v>-50</v>
      </c>
      <c r="CH51">
        <f t="shared" si="118"/>
        <v>-50</v>
      </c>
    </row>
    <row r="52" spans="5:86" x14ac:dyDescent="0.25">
      <c r="E52" s="150">
        <v>47</v>
      </c>
      <c r="F52" s="191">
        <f t="shared" si="119"/>
        <v>4.7E-2</v>
      </c>
      <c r="G52" s="191"/>
      <c r="H52" s="191">
        <f t="shared" si="67"/>
        <v>0.94</v>
      </c>
      <c r="I52" s="472">
        <f t="shared" si="68"/>
        <v>20</v>
      </c>
      <c r="J52" s="152">
        <f t="shared" si="69"/>
        <v>20.32</v>
      </c>
      <c r="K52" s="386">
        <f t="shared" si="70"/>
        <v>40.32</v>
      </c>
      <c r="L52" s="386"/>
      <c r="M52" s="191">
        <f t="shared" si="71"/>
        <v>0.50396825396825395</v>
      </c>
      <c r="N52" s="152">
        <f t="shared" si="72"/>
        <v>3.4017857142857144</v>
      </c>
      <c r="O52" s="152">
        <f t="shared" si="53"/>
        <v>0.94</v>
      </c>
      <c r="P52" s="191">
        <f t="shared" si="73"/>
        <v>0.17008928571428572</v>
      </c>
      <c r="Q52" s="191">
        <f t="shared" si="74"/>
        <v>20</v>
      </c>
      <c r="R52" s="191">
        <f t="shared" si="75"/>
        <v>0.18898809523809523</v>
      </c>
      <c r="S52" s="152">
        <f t="shared" si="76"/>
        <v>123.66863890911684</v>
      </c>
      <c r="T52" s="152">
        <f t="shared" si="77"/>
        <v>20</v>
      </c>
      <c r="U52" s="191">
        <f t="shared" si="78"/>
        <v>0.20724409448818898</v>
      </c>
      <c r="V52" s="191">
        <f t="shared" si="79"/>
        <v>1.5543307086614171</v>
      </c>
      <c r="W52" s="191">
        <f t="shared" si="80"/>
        <v>1.5298530597061191</v>
      </c>
      <c r="X52" s="175">
        <f t="shared" si="81"/>
        <v>350</v>
      </c>
      <c r="Y52" s="386">
        <f t="shared" si="54"/>
        <v>324.23489490358799</v>
      </c>
      <c r="AA52" s="191">
        <f t="shared" si="82"/>
        <v>0.19198790627362058</v>
      </c>
      <c r="AB52" s="153">
        <f t="shared" si="83"/>
        <v>1.4172335600907029</v>
      </c>
      <c r="AC52" s="153">
        <f t="shared" si="84"/>
        <v>4.7616048182941621E-2</v>
      </c>
      <c r="AD52" s="153"/>
      <c r="AE52" s="153">
        <f t="shared" si="85"/>
        <v>1.1072834645669289</v>
      </c>
      <c r="AF52" s="317">
        <f t="shared" si="86"/>
        <v>565.94962962962961</v>
      </c>
      <c r="AG52" s="463">
        <f t="shared" si="87"/>
        <v>2.9066190944881887E-2</v>
      </c>
      <c r="AI52" s="153">
        <f t="shared" si="88"/>
        <v>0.20105962683983464</v>
      </c>
      <c r="AJ52" s="153">
        <f t="shared" si="89"/>
        <v>0.20105962683983464</v>
      </c>
      <c r="AK52" s="153">
        <f t="shared" si="90"/>
        <v>1.2340397512265564</v>
      </c>
      <c r="AM52" s="317">
        <f t="shared" si="91"/>
        <v>47</v>
      </c>
      <c r="AN52" s="147">
        <f t="shared" si="92"/>
        <v>324.23489490358799</v>
      </c>
      <c r="AP52">
        <f t="shared" si="93"/>
        <v>47</v>
      </c>
      <c r="AQ52" s="147">
        <f t="shared" si="94"/>
        <v>324.23489490358799</v>
      </c>
      <c r="AR52" s="147"/>
      <c r="AS52" s="5">
        <f t="shared" si="55"/>
        <v>3.0841837683675362</v>
      </c>
      <c r="AT52" s="5">
        <f t="shared" si="95"/>
        <v>1.5079472012987598</v>
      </c>
      <c r="AU52" s="5">
        <f t="shared" si="56"/>
        <v>1.5762365670687764</v>
      </c>
      <c r="AV52" s="5">
        <f t="shared" si="96"/>
        <v>1.484200001278307</v>
      </c>
      <c r="AW52" s="153">
        <f t="shared" si="57"/>
        <v>0.48892910233326298</v>
      </c>
      <c r="AX52" s="153">
        <f t="shared" si="97"/>
        <v>0.98303902866261184</v>
      </c>
      <c r="AY52" s="153">
        <f t="shared" si="98"/>
        <v>5.1377861986786733E-2</v>
      </c>
      <c r="AZ52" s="153">
        <f t="shared" si="58"/>
        <v>19.133513747913995</v>
      </c>
      <c r="BA52" s="147">
        <f t="shared" si="99"/>
        <v>5.9640482169430262</v>
      </c>
      <c r="BB52" s="147">
        <f t="shared" si="100"/>
        <v>3.9486356279999995</v>
      </c>
      <c r="BC52" s="5">
        <f t="shared" si="101"/>
        <v>8.2314576280258303E-2</v>
      </c>
      <c r="BD52" s="147">
        <f t="shared" si="102"/>
        <v>8.3881242946924974</v>
      </c>
      <c r="BE52" s="5"/>
      <c r="BF52" s="153">
        <f t="shared" si="59"/>
        <v>8.1168438092626916E-2</v>
      </c>
      <c r="BG52" s="153">
        <f t="shared" si="103"/>
        <v>8.298599785060877E-2</v>
      </c>
      <c r="BH52" s="153"/>
      <c r="BI52" s="463">
        <f t="shared" si="104"/>
        <v>2.3059103698388128E-3</v>
      </c>
      <c r="BJ52" s="463">
        <f t="shared" si="105"/>
        <v>1.3142414270718109E-2</v>
      </c>
      <c r="BK52" s="463">
        <f t="shared" si="106"/>
        <v>4.0529361862948502E-3</v>
      </c>
      <c r="BL52" s="463">
        <f t="shared" si="107"/>
        <v>2.6355472340425543E-2</v>
      </c>
      <c r="BM52">
        <f t="shared" si="108"/>
        <v>5.7999999999999996E-3</v>
      </c>
      <c r="BN52">
        <f t="shared" si="109"/>
        <v>1.2158808558884549E-5</v>
      </c>
      <c r="BO52" s="463">
        <f t="shared" si="110"/>
        <v>5.2002313764221597E-2</v>
      </c>
      <c r="BP52" s="147">
        <f t="shared" si="60"/>
        <v>52.002313764221597</v>
      </c>
      <c r="BQ52" s="463">
        <f t="shared" si="111"/>
        <v>2.321542034119559E-2</v>
      </c>
      <c r="BR52" s="463"/>
      <c r="BT52" s="147">
        <f t="shared" si="61"/>
        <v>23.215420341195589</v>
      </c>
      <c r="BU52" s="463">
        <f t="shared" si="112"/>
        <v>5.2706522739172871E-3</v>
      </c>
      <c r="BV52" s="463">
        <f t="shared" si="113"/>
        <v>5.4817939680519498E-3</v>
      </c>
      <c r="BW52" s="463">
        <f t="shared" si="114"/>
        <v>0</v>
      </c>
      <c r="BX52" s="463">
        <f t="shared" si="115"/>
        <v>1.205310782251837E-2</v>
      </c>
      <c r="BY52" s="463">
        <f t="shared" si="116"/>
        <v>1.9660780573252237E-2</v>
      </c>
      <c r="BZ52" s="147">
        <f t="shared" si="62"/>
        <v>31.713888395770606</v>
      </c>
      <c r="CA52" s="153">
        <f t="shared" si="63"/>
        <v>0.10693162250118779</v>
      </c>
      <c r="CB52" s="5">
        <f t="shared" si="64"/>
        <v>0.94</v>
      </c>
      <c r="CC52" s="153">
        <f t="shared" si="65"/>
        <v>0.89786188495699348</v>
      </c>
      <c r="CD52" s="5">
        <f t="shared" si="66"/>
        <v>89.786188495699349</v>
      </c>
      <c r="CG52" s="59">
        <f t="shared" si="117"/>
        <v>-50</v>
      </c>
      <c r="CH52">
        <f t="shared" si="118"/>
        <v>-50</v>
      </c>
    </row>
    <row r="53" spans="5:86" x14ac:dyDescent="0.25">
      <c r="E53" s="150">
        <v>48</v>
      </c>
      <c r="F53" s="191">
        <f t="shared" si="119"/>
        <v>4.8000000000000001E-2</v>
      </c>
      <c r="G53" s="191"/>
      <c r="H53" s="191">
        <f t="shared" si="67"/>
        <v>0.96</v>
      </c>
      <c r="I53" s="472">
        <f t="shared" si="68"/>
        <v>20</v>
      </c>
      <c r="J53" s="152">
        <f t="shared" si="69"/>
        <v>20.32</v>
      </c>
      <c r="K53" s="386">
        <f t="shared" si="70"/>
        <v>40.32</v>
      </c>
      <c r="L53" s="386"/>
      <c r="M53" s="191">
        <f t="shared" si="71"/>
        <v>0.50396825396825395</v>
      </c>
      <c r="N53" s="152">
        <f t="shared" si="72"/>
        <v>3.4017857142857144</v>
      </c>
      <c r="O53" s="152">
        <f t="shared" si="53"/>
        <v>0.96</v>
      </c>
      <c r="P53" s="191">
        <f t="shared" si="73"/>
        <v>0.17008928571428572</v>
      </c>
      <c r="Q53" s="191">
        <f t="shared" si="74"/>
        <v>20</v>
      </c>
      <c r="R53" s="191">
        <f t="shared" si="75"/>
        <v>0.18898809523809523</v>
      </c>
      <c r="S53" s="152">
        <f t="shared" si="76"/>
        <v>120.67789348281845</v>
      </c>
      <c r="T53" s="152">
        <f t="shared" si="77"/>
        <v>20</v>
      </c>
      <c r="U53" s="191">
        <f t="shared" si="78"/>
        <v>0.21165354330708661</v>
      </c>
      <c r="V53" s="191">
        <f t="shared" si="79"/>
        <v>1.5874015748031494</v>
      </c>
      <c r="W53" s="191">
        <f t="shared" si="80"/>
        <v>1.5624031248062493</v>
      </c>
      <c r="X53" s="175">
        <f t="shared" si="81"/>
        <v>350</v>
      </c>
      <c r="Y53" s="386">
        <f t="shared" si="54"/>
        <v>317.48000125976324</v>
      </c>
      <c r="AA53" s="191">
        <f t="shared" si="82"/>
        <v>0.19198790627362058</v>
      </c>
      <c r="AB53" s="153">
        <f t="shared" si="83"/>
        <v>1.4172335600907029</v>
      </c>
      <c r="AC53" s="153">
        <f t="shared" si="84"/>
        <v>4.7616048182941621E-2</v>
      </c>
      <c r="AD53" s="153"/>
      <c r="AE53" s="153">
        <f t="shared" si="85"/>
        <v>1.1072834645669289</v>
      </c>
      <c r="AF53" s="317">
        <f t="shared" si="86"/>
        <v>577.99111111111108</v>
      </c>
      <c r="AG53" s="463">
        <f t="shared" si="87"/>
        <v>2.9066190944881887E-2</v>
      </c>
      <c r="AI53" s="153">
        <f t="shared" si="88"/>
        <v>0.20318730119050099</v>
      </c>
      <c r="AJ53" s="153">
        <f t="shared" si="89"/>
        <v>0.21165354330708661</v>
      </c>
      <c r="AK53" s="153">
        <f t="shared" si="90"/>
        <v>1.2411023622047244</v>
      </c>
      <c r="AM53" s="317">
        <f t="shared" si="91"/>
        <v>48</v>
      </c>
      <c r="AN53" s="147">
        <f t="shared" si="92"/>
        <v>317.48000125976324</v>
      </c>
      <c r="AP53">
        <f t="shared" si="93"/>
        <v>48</v>
      </c>
      <c r="AQ53" s="147">
        <f t="shared" si="94"/>
        <v>317.48000125976324</v>
      </c>
      <c r="AR53" s="147"/>
      <c r="AS53" s="5">
        <f t="shared" si="55"/>
        <v>3.1498046996093985</v>
      </c>
      <c r="AT53" s="5">
        <f t="shared" si="95"/>
        <v>1.5874015748031494</v>
      </c>
      <c r="AU53" s="5">
        <f t="shared" si="56"/>
        <v>1.5624031248062491</v>
      </c>
      <c r="AV53" s="5">
        <f t="shared" si="96"/>
        <v>1.5624031248062493</v>
      </c>
      <c r="AW53" s="153">
        <f t="shared" si="57"/>
        <v>0.50396825396825407</v>
      </c>
      <c r="AX53" s="153">
        <f t="shared" si="97"/>
        <v>1.0666666666666667</v>
      </c>
      <c r="AY53" s="153">
        <f t="shared" si="98"/>
        <v>5.2493438320209959E-2</v>
      </c>
      <c r="AZ53" s="153">
        <f t="shared" si="58"/>
        <v>20.320000000000004</v>
      </c>
      <c r="BA53" s="147">
        <f t="shared" si="99"/>
        <v>5.9640482169430262</v>
      </c>
      <c r="BB53" s="147">
        <f t="shared" si="100"/>
        <v>4.1153863679999994</v>
      </c>
      <c r="BC53" s="5">
        <f t="shared" si="101"/>
        <v>8.3328166656333275E-2</v>
      </c>
      <c r="BD53" s="147">
        <f t="shared" si="102"/>
        <v>8.4928166656333275</v>
      </c>
      <c r="BE53" s="5"/>
      <c r="BF53" s="153">
        <f t="shared" si="59"/>
        <v>8.6749405286637563E-2</v>
      </c>
      <c r="BG53" s="153">
        <f t="shared" si="103"/>
        <v>8.6063628480500559E-2</v>
      </c>
      <c r="BH53" s="153"/>
      <c r="BI53" s="463">
        <f t="shared" si="104"/>
        <v>2.633910761154855E-3</v>
      </c>
      <c r="BJ53" s="463">
        <f t="shared" si="105"/>
        <v>1.3546666666666672E-2</v>
      </c>
      <c r="BK53" s="463">
        <f t="shared" si="106"/>
        <v>3.9685000157470406E-3</v>
      </c>
      <c r="BL53" s="463">
        <f t="shared" si="107"/>
        <v>2.5806400000000011E-2</v>
      </c>
      <c r="BM53">
        <f t="shared" si="108"/>
        <v>5.7999999999999996E-3</v>
      </c>
      <c r="BN53">
        <f t="shared" si="109"/>
        <v>1.1905500047241121E-5</v>
      </c>
      <c r="BO53" s="463">
        <f t="shared" si="110"/>
        <v>5.214830270488291E-2</v>
      </c>
      <c r="BP53" s="147">
        <f t="shared" si="60"/>
        <v>52.148302704882909</v>
      </c>
      <c r="BQ53" s="463">
        <f t="shared" si="111"/>
        <v>2.3994908384483437E-2</v>
      </c>
      <c r="BR53" s="463"/>
      <c r="BT53" s="147">
        <f t="shared" si="61"/>
        <v>23.994908384483438</v>
      </c>
      <c r="BU53" s="463">
        <f t="shared" si="112"/>
        <v>6.0203674540682409E-3</v>
      </c>
      <c r="BV53" s="463">
        <f t="shared" si="113"/>
        <v>5.8959307251947833E-3</v>
      </c>
      <c r="BW53" s="463">
        <f t="shared" si="114"/>
        <v>0</v>
      </c>
      <c r="BX53" s="463">
        <f t="shared" si="115"/>
        <v>1.3358989136608615E-2</v>
      </c>
      <c r="BY53" s="463">
        <f t="shared" si="116"/>
        <v>2.133333333333334E-2</v>
      </c>
      <c r="BZ53" s="147">
        <f t="shared" si="62"/>
        <v>34.692322469941956</v>
      </c>
      <c r="CA53" s="153">
        <f t="shared" si="63"/>
        <v>0.11083553355930831</v>
      </c>
      <c r="CB53" s="5">
        <f t="shared" si="64"/>
        <v>0.96</v>
      </c>
      <c r="CC53" s="153">
        <f t="shared" si="65"/>
        <v>0.89649621245672861</v>
      </c>
      <c r="CD53" s="5">
        <f t="shared" si="66"/>
        <v>89.649621245672861</v>
      </c>
      <c r="CG53" s="59">
        <f t="shared" si="117"/>
        <v>-50</v>
      </c>
      <c r="CH53">
        <f t="shared" si="118"/>
        <v>-50</v>
      </c>
    </row>
    <row r="54" spans="5:86" x14ac:dyDescent="0.25">
      <c r="E54" s="150">
        <v>49</v>
      </c>
      <c r="F54" s="191">
        <f t="shared" si="119"/>
        <v>4.9000000000000002E-2</v>
      </c>
      <c r="G54" s="191"/>
      <c r="H54" s="191">
        <f t="shared" si="67"/>
        <v>0.98</v>
      </c>
      <c r="I54" s="472">
        <f t="shared" si="68"/>
        <v>20</v>
      </c>
      <c r="J54" s="152">
        <f t="shared" si="69"/>
        <v>20.32</v>
      </c>
      <c r="K54" s="386">
        <f t="shared" si="70"/>
        <v>40.32</v>
      </c>
      <c r="L54" s="386"/>
      <c r="M54" s="191">
        <f t="shared" si="71"/>
        <v>0.50396825396825395</v>
      </c>
      <c r="N54" s="152">
        <f t="shared" si="72"/>
        <v>3.4017857142857144</v>
      </c>
      <c r="O54" s="152">
        <f t="shared" si="53"/>
        <v>0.98</v>
      </c>
      <c r="P54" s="191">
        <f t="shared" si="73"/>
        <v>0.17008928571428572</v>
      </c>
      <c r="Q54" s="191">
        <f t="shared" si="74"/>
        <v>20</v>
      </c>
      <c r="R54" s="191">
        <f t="shared" si="75"/>
        <v>0.18898809523809523</v>
      </c>
      <c r="S54" s="152">
        <f t="shared" si="76"/>
        <v>117.80927997199069</v>
      </c>
      <c r="T54" s="152">
        <f t="shared" si="77"/>
        <v>20</v>
      </c>
      <c r="U54" s="191">
        <f t="shared" si="78"/>
        <v>0.21606299212598426</v>
      </c>
      <c r="V54" s="191">
        <f t="shared" si="79"/>
        <v>1.6204724409448816</v>
      </c>
      <c r="W54" s="191">
        <f t="shared" si="80"/>
        <v>1.5949531899063798</v>
      </c>
      <c r="X54" s="175">
        <f t="shared" si="81"/>
        <v>350</v>
      </c>
      <c r="Y54" s="386">
        <f t="shared" si="54"/>
        <v>311.00081756058432</v>
      </c>
      <c r="AA54" s="191">
        <f t="shared" si="82"/>
        <v>0.19198790627362058</v>
      </c>
      <c r="AB54" s="153">
        <f t="shared" si="83"/>
        <v>1.4172335600907029</v>
      </c>
      <c r="AC54" s="153">
        <f t="shared" si="84"/>
        <v>4.7616048182941621E-2</v>
      </c>
      <c r="AD54" s="153"/>
      <c r="AE54" s="153">
        <f t="shared" si="85"/>
        <v>1.1072834645669289</v>
      </c>
      <c r="AF54" s="317">
        <f t="shared" si="86"/>
        <v>590.03259259259266</v>
      </c>
      <c r="AG54" s="463">
        <f t="shared" si="87"/>
        <v>2.9066190944881887E-2</v>
      </c>
      <c r="AI54" s="153">
        <f t="shared" si="88"/>
        <v>0.20529292531693633</v>
      </c>
      <c r="AJ54" s="153">
        <f t="shared" si="89"/>
        <v>0.21606299212598426</v>
      </c>
      <c r="AK54" s="153">
        <f t="shared" si="90"/>
        <v>1.2440419947506562</v>
      </c>
      <c r="AM54" s="317">
        <f t="shared" si="91"/>
        <v>49</v>
      </c>
      <c r="AN54" s="147">
        <f t="shared" si="92"/>
        <v>311.00081756058432</v>
      </c>
      <c r="AP54">
        <f t="shared" si="93"/>
        <v>49</v>
      </c>
      <c r="AQ54" s="147">
        <f t="shared" si="94"/>
        <v>311.00081756058432</v>
      </c>
      <c r="AR54" s="147"/>
      <c r="AS54" s="5">
        <f t="shared" si="55"/>
        <v>3.2154256308512621</v>
      </c>
      <c r="AT54" s="5">
        <f t="shared" si="95"/>
        <v>1.6204724409448816</v>
      </c>
      <c r="AU54" s="5">
        <f t="shared" si="56"/>
        <v>1.5949531899063805</v>
      </c>
      <c r="AV54" s="5">
        <f t="shared" si="96"/>
        <v>1.5949531899063798</v>
      </c>
      <c r="AW54" s="153">
        <f t="shared" si="57"/>
        <v>0.50396825396825384</v>
      </c>
      <c r="AX54" s="153">
        <f t="shared" si="97"/>
        <v>1.0888888888888888</v>
      </c>
      <c r="AY54" s="153">
        <f t="shared" si="98"/>
        <v>5.3587051618547696E-2</v>
      </c>
      <c r="AZ54" s="153">
        <f t="shared" si="58"/>
        <v>20.319999999999993</v>
      </c>
      <c r="BA54" s="147">
        <f t="shared" si="99"/>
        <v>5.9640482169430262</v>
      </c>
      <c r="BB54" s="147">
        <f t="shared" si="100"/>
        <v>4.2855844919999999</v>
      </c>
      <c r="BC54" s="5">
        <f t="shared" si="101"/>
        <v>8.6836340339347382E-2</v>
      </c>
      <c r="BD54" s="147">
        <f t="shared" si="102"/>
        <v>8.8469673672680713</v>
      </c>
      <c r="BE54" s="5"/>
      <c r="BF54" s="153">
        <f t="shared" si="59"/>
        <v>8.8556684563442511E-2</v>
      </c>
      <c r="BG54" s="153">
        <f t="shared" si="103"/>
        <v>8.7856620740510996E-2</v>
      </c>
      <c r="BH54" s="153"/>
      <c r="BI54" s="463">
        <f t="shared" si="104"/>
        <v>2.7448002333041698E-3</v>
      </c>
      <c r="BJ54" s="463">
        <f t="shared" si="105"/>
        <v>1.3546666666666667E-2</v>
      </c>
      <c r="BK54" s="463">
        <f t="shared" si="106"/>
        <v>3.8875102195073037E-3</v>
      </c>
      <c r="BL54" s="463">
        <f t="shared" si="107"/>
        <v>2.5279738775510208E-2</v>
      </c>
      <c r="BM54">
        <f t="shared" si="108"/>
        <v>5.7999999999999996E-3</v>
      </c>
      <c r="BN54">
        <f t="shared" si="109"/>
        <v>1.1662530658521912E-5</v>
      </c>
      <c r="BO54" s="463">
        <f t="shared" si="110"/>
        <v>5.1667091480499278E-2</v>
      </c>
      <c r="BP54" s="147">
        <f t="shared" si="60"/>
        <v>51.66709148049928</v>
      </c>
      <c r="BQ54" s="463">
        <f t="shared" si="111"/>
        <v>2.4615152357267682E-2</v>
      </c>
      <c r="BR54" s="463"/>
      <c r="BT54" s="147">
        <f t="shared" si="61"/>
        <v>24.615152357267682</v>
      </c>
      <c r="BU54" s="463">
        <f t="shared" si="112"/>
        <v>6.2738291046952463E-3</v>
      </c>
      <c r="BV54" s="463">
        <f t="shared" si="113"/>
        <v>6.1441535031218223E-3</v>
      </c>
      <c r="BW54" s="463">
        <f t="shared" si="114"/>
        <v>0</v>
      </c>
      <c r="BX54" s="463">
        <f t="shared" si="115"/>
        <v>1.3921971144398131E-2</v>
      </c>
      <c r="BY54" s="463">
        <f t="shared" si="116"/>
        <v>2.1777777777777778E-2</v>
      </c>
      <c r="BZ54" s="147">
        <f t="shared" si="62"/>
        <v>35.699748922175907</v>
      </c>
      <c r="CA54" s="153">
        <f t="shared" si="63"/>
        <v>0.11198199275994289</v>
      </c>
      <c r="CB54" s="5">
        <f t="shared" si="64"/>
        <v>0.98</v>
      </c>
      <c r="CC54" s="153">
        <f t="shared" si="65"/>
        <v>0.89745069652942477</v>
      </c>
      <c r="CD54" s="5">
        <f t="shared" si="66"/>
        <v>89.745069652942476</v>
      </c>
      <c r="CG54" s="59">
        <f t="shared" si="117"/>
        <v>-50</v>
      </c>
      <c r="CH54">
        <f t="shared" si="118"/>
        <v>-50</v>
      </c>
    </row>
    <row r="55" spans="5:86" x14ac:dyDescent="0.25">
      <c r="E55" s="150">
        <v>50</v>
      </c>
      <c r="F55" s="191">
        <f t="shared" si="119"/>
        <v>0.05</v>
      </c>
      <c r="G55" s="191"/>
      <c r="H55" s="191">
        <f t="shared" si="67"/>
        <v>1</v>
      </c>
      <c r="I55" s="472">
        <f t="shared" si="68"/>
        <v>20</v>
      </c>
      <c r="J55" s="152">
        <f t="shared" si="69"/>
        <v>20.32</v>
      </c>
      <c r="K55" s="386">
        <f t="shared" si="70"/>
        <v>40.32</v>
      </c>
      <c r="L55" s="386"/>
      <c r="M55" s="191">
        <f t="shared" si="71"/>
        <v>0.50396825396825395</v>
      </c>
      <c r="N55" s="152">
        <f t="shared" si="72"/>
        <v>3.4017857142857144</v>
      </c>
      <c r="O55" s="152">
        <f t="shared" si="53"/>
        <v>1</v>
      </c>
      <c r="P55" s="191">
        <f t="shared" si="73"/>
        <v>0.17008928571428572</v>
      </c>
      <c r="Q55" s="191">
        <f t="shared" si="74"/>
        <v>20</v>
      </c>
      <c r="R55" s="191">
        <f t="shared" si="75"/>
        <v>0.18898809523809523</v>
      </c>
      <c r="S55" s="152">
        <f t="shared" si="76"/>
        <v>115.05547106279215</v>
      </c>
      <c r="T55" s="152">
        <f t="shared" si="77"/>
        <v>20</v>
      </c>
      <c r="U55" s="191">
        <f t="shared" si="78"/>
        <v>0.22047244094488189</v>
      </c>
      <c r="V55" s="191">
        <f t="shared" si="79"/>
        <v>1.6535433070866137</v>
      </c>
      <c r="W55" s="191">
        <f t="shared" si="80"/>
        <v>1.6275032550065096</v>
      </c>
      <c r="X55" s="175">
        <f t="shared" si="81"/>
        <v>350</v>
      </c>
      <c r="Y55" s="386">
        <f t="shared" si="54"/>
        <v>304.78080120937273</v>
      </c>
      <c r="AA55" s="191">
        <f t="shared" si="82"/>
        <v>0.19198790627362058</v>
      </c>
      <c r="AB55" s="153">
        <f t="shared" si="83"/>
        <v>1.4172335600907029</v>
      </c>
      <c r="AC55" s="153">
        <f t="shared" si="84"/>
        <v>4.7616048182941621E-2</v>
      </c>
      <c r="AD55" s="153"/>
      <c r="AE55" s="153">
        <f t="shared" si="85"/>
        <v>1.1072834645669289</v>
      </c>
      <c r="AF55" s="317">
        <f t="shared" si="86"/>
        <v>602.07407407407413</v>
      </c>
      <c r="AG55" s="463">
        <f t="shared" si="87"/>
        <v>2.9066190944881887E-2</v>
      </c>
      <c r="AI55" s="153">
        <f t="shared" si="88"/>
        <v>0.20737717088747018</v>
      </c>
      <c r="AJ55" s="153">
        <f t="shared" si="89"/>
        <v>0.22047244094488189</v>
      </c>
      <c r="AK55" s="153">
        <f t="shared" si="90"/>
        <v>1.2469816272965879</v>
      </c>
      <c r="AM55" s="317">
        <f t="shared" si="91"/>
        <v>50</v>
      </c>
      <c r="AN55" s="147">
        <f t="shared" si="92"/>
        <v>304.78080120937273</v>
      </c>
      <c r="AP55">
        <f t="shared" si="93"/>
        <v>50</v>
      </c>
      <c r="AQ55" s="147">
        <f t="shared" si="94"/>
        <v>304.78080120937273</v>
      </c>
      <c r="AR55" s="147"/>
      <c r="AS55" s="5">
        <f t="shared" si="55"/>
        <v>3.2810465620931231</v>
      </c>
      <c r="AT55" s="5">
        <f t="shared" si="95"/>
        <v>1.6535433070866137</v>
      </c>
      <c r="AU55" s="5">
        <f t="shared" si="56"/>
        <v>1.6275032550065094</v>
      </c>
      <c r="AV55" s="5">
        <f t="shared" si="96"/>
        <v>1.6275032550065096</v>
      </c>
      <c r="AW55" s="153">
        <f t="shared" si="57"/>
        <v>0.50396825396825395</v>
      </c>
      <c r="AX55" s="153">
        <f t="shared" si="97"/>
        <v>1.1111111111111114</v>
      </c>
      <c r="AY55" s="153">
        <f t="shared" si="98"/>
        <v>5.4680664916885391E-2</v>
      </c>
      <c r="AZ55" s="153">
        <f t="shared" si="58"/>
        <v>20.320000000000004</v>
      </c>
      <c r="BA55" s="147">
        <f t="shared" si="99"/>
        <v>5.9640482169430262</v>
      </c>
      <c r="BB55" s="147">
        <f t="shared" si="100"/>
        <v>4.4592300000000007</v>
      </c>
      <c r="BC55" s="5">
        <f t="shared" si="101"/>
        <v>9.0416847500361636E-2</v>
      </c>
      <c r="BD55" s="147">
        <f t="shared" si="102"/>
        <v>9.2083514167028309</v>
      </c>
      <c r="BE55" s="5"/>
      <c r="BF55" s="153">
        <f t="shared" si="59"/>
        <v>9.0363963840247474E-2</v>
      </c>
      <c r="BG55" s="153">
        <f t="shared" si="103"/>
        <v>8.9649613000521419E-2</v>
      </c>
      <c r="BH55" s="153"/>
      <c r="BI55" s="463">
        <f t="shared" si="104"/>
        <v>2.8579760863225437E-3</v>
      </c>
      <c r="BJ55" s="463">
        <f t="shared" si="105"/>
        <v>1.354666666666667E-2</v>
      </c>
      <c r="BK55" s="463">
        <f t="shared" si="106"/>
        <v>3.809760015117159E-3</v>
      </c>
      <c r="BL55" s="463">
        <f t="shared" si="107"/>
        <v>2.4774144000000012E-2</v>
      </c>
      <c r="BM55">
        <f t="shared" si="108"/>
        <v>5.7999999999999996E-3</v>
      </c>
      <c r="BN55">
        <f t="shared" si="109"/>
        <v>1.1429280045351477E-5</v>
      </c>
      <c r="BO55" s="463">
        <f t="shared" si="110"/>
        <v>5.121280715827798E-2</v>
      </c>
      <c r="BP55" s="147">
        <f t="shared" si="60"/>
        <v>51.212807158277982</v>
      </c>
      <c r="BQ55" s="463">
        <f t="shared" si="111"/>
        <v>2.5240308576913454E-2</v>
      </c>
      <c r="BR55" s="463"/>
      <c r="BT55" s="147">
        <f t="shared" si="61"/>
        <v>25.240308576913453</v>
      </c>
      <c r="BU55" s="463">
        <f t="shared" si="112"/>
        <v>6.5325167687372426E-3</v>
      </c>
      <c r="BV55" s="463">
        <f t="shared" si="113"/>
        <v>6.3974942764700336E-3</v>
      </c>
      <c r="BW55" s="463">
        <f t="shared" si="114"/>
        <v>0</v>
      </c>
      <c r="BX55" s="463">
        <f t="shared" si="115"/>
        <v>1.4496607674420015E-2</v>
      </c>
      <c r="BY55" s="463">
        <f t="shared" si="116"/>
        <v>2.222222222222223E-2</v>
      </c>
      <c r="BZ55" s="147">
        <f t="shared" si="62"/>
        <v>36.718829896642241</v>
      </c>
      <c r="CA55" s="153">
        <f t="shared" si="63"/>
        <v>0.11317194563183368</v>
      </c>
      <c r="CB55" s="5">
        <f t="shared" si="64"/>
        <v>1</v>
      </c>
      <c r="CC55" s="153">
        <f t="shared" si="65"/>
        <v>0.89833381439774107</v>
      </c>
      <c r="CD55" s="5">
        <f t="shared" si="66"/>
        <v>89.833381439774101</v>
      </c>
      <c r="CG55" s="59">
        <f t="shared" si="117"/>
        <v>-50</v>
      </c>
      <c r="CH55">
        <f t="shared" si="118"/>
        <v>-50</v>
      </c>
    </row>
    <row r="56" spans="5:86" x14ac:dyDescent="0.25">
      <c r="E56" s="150">
        <v>51</v>
      </c>
      <c r="F56" s="191">
        <f t="shared" si="119"/>
        <v>5.1000000000000004E-2</v>
      </c>
      <c r="G56" s="191"/>
      <c r="H56" s="191">
        <f t="shared" si="67"/>
        <v>1.02</v>
      </c>
      <c r="I56" s="472">
        <f t="shared" si="68"/>
        <v>20</v>
      </c>
      <c r="J56" s="152">
        <f t="shared" si="69"/>
        <v>20.32</v>
      </c>
      <c r="K56" s="386">
        <f t="shared" si="70"/>
        <v>40.32</v>
      </c>
      <c r="L56" s="386"/>
      <c r="M56" s="191">
        <f t="shared" si="71"/>
        <v>0.50396825396825395</v>
      </c>
      <c r="N56" s="152">
        <f t="shared" si="72"/>
        <v>3.4017857142857144</v>
      </c>
      <c r="O56" s="152">
        <f t="shared" si="53"/>
        <v>1.02</v>
      </c>
      <c r="P56" s="191">
        <f t="shared" si="73"/>
        <v>0.17008928571428572</v>
      </c>
      <c r="Q56" s="191">
        <f t="shared" si="74"/>
        <v>20</v>
      </c>
      <c r="R56" s="191">
        <f t="shared" si="75"/>
        <v>0.18898809523809523</v>
      </c>
      <c r="S56" s="152">
        <f t="shared" si="76"/>
        <v>112.40971414044729</v>
      </c>
      <c r="T56" s="152">
        <f t="shared" si="77"/>
        <v>20</v>
      </c>
      <c r="U56" s="191">
        <f t="shared" si="78"/>
        <v>0.22488188976377954</v>
      </c>
      <c r="V56" s="191">
        <f t="shared" si="79"/>
        <v>1.6866141732283462</v>
      </c>
      <c r="W56" s="191">
        <f t="shared" si="80"/>
        <v>1.6600533201066401</v>
      </c>
      <c r="X56" s="175">
        <f t="shared" si="81"/>
        <v>350</v>
      </c>
      <c r="Y56" s="386">
        <f t="shared" si="54"/>
        <v>298.80470706801242</v>
      </c>
      <c r="AA56" s="191">
        <f t="shared" si="82"/>
        <v>0.19198790627362058</v>
      </c>
      <c r="AB56" s="153">
        <f t="shared" si="83"/>
        <v>1.4172335600907029</v>
      </c>
      <c r="AC56" s="153">
        <f t="shared" si="84"/>
        <v>4.7616048182941621E-2</v>
      </c>
      <c r="AD56" s="153"/>
      <c r="AE56" s="153">
        <f t="shared" si="85"/>
        <v>1.1072834645669289</v>
      </c>
      <c r="AF56" s="317">
        <f t="shared" si="86"/>
        <v>614.1155555555556</v>
      </c>
      <c r="AG56" s="463">
        <f t="shared" si="87"/>
        <v>2.9066190944881887E-2</v>
      </c>
      <c r="AI56" s="153">
        <f t="shared" si="88"/>
        <v>0.20944067614815617</v>
      </c>
      <c r="AJ56" s="153">
        <f t="shared" si="89"/>
        <v>0.22488188976377954</v>
      </c>
      <c r="AK56" s="153">
        <f t="shared" si="90"/>
        <v>1.2499212598425196</v>
      </c>
      <c r="AM56" s="317">
        <f t="shared" si="91"/>
        <v>51.000000000000007</v>
      </c>
      <c r="AN56" s="147">
        <f t="shared" si="92"/>
        <v>298.80470706801242</v>
      </c>
      <c r="AP56">
        <f t="shared" si="93"/>
        <v>51.000000000000007</v>
      </c>
      <c r="AQ56" s="147">
        <f t="shared" si="94"/>
        <v>298.80470706801242</v>
      </c>
      <c r="AR56" s="147"/>
      <c r="AS56" s="5">
        <f t="shared" si="55"/>
        <v>3.3466674933349863</v>
      </c>
      <c r="AT56" s="5">
        <f t="shared" si="95"/>
        <v>1.6866141732283462</v>
      </c>
      <c r="AU56" s="5">
        <f t="shared" si="56"/>
        <v>1.6600533201066401</v>
      </c>
      <c r="AV56" s="5">
        <f t="shared" si="96"/>
        <v>1.6600533201066401</v>
      </c>
      <c r="AW56" s="153">
        <f t="shared" si="57"/>
        <v>0.50396825396825395</v>
      </c>
      <c r="AX56" s="153">
        <f t="shared" si="97"/>
        <v>1.1333333333333333</v>
      </c>
      <c r="AY56" s="153">
        <f t="shared" si="98"/>
        <v>5.57742782152231E-2</v>
      </c>
      <c r="AZ56" s="153">
        <f t="shared" si="58"/>
        <v>20.319999999999997</v>
      </c>
      <c r="BA56" s="147">
        <f t="shared" si="99"/>
        <v>5.9640482169430262</v>
      </c>
      <c r="BB56" s="147">
        <f t="shared" si="100"/>
        <v>4.6363228920000008</v>
      </c>
      <c r="BC56" s="5">
        <f t="shared" si="101"/>
        <v>9.4069688139376273E-2</v>
      </c>
      <c r="BD56" s="147">
        <f t="shared" si="102"/>
        <v>9.5769688139376274</v>
      </c>
      <c r="BE56" s="5"/>
      <c r="BF56" s="153">
        <f t="shared" si="59"/>
        <v>9.2171243117052423E-2</v>
      </c>
      <c r="BG56" s="153">
        <f t="shared" si="103"/>
        <v>9.1442605260531856E-2</v>
      </c>
      <c r="BH56" s="153"/>
      <c r="BI56" s="463">
        <f t="shared" si="104"/>
        <v>2.9734383202099741E-3</v>
      </c>
      <c r="BJ56" s="463">
        <f t="shared" si="105"/>
        <v>1.354666666666667E-2</v>
      </c>
      <c r="BK56" s="463">
        <f t="shared" si="106"/>
        <v>3.7350588383501548E-3</v>
      </c>
      <c r="BL56" s="463">
        <f t="shared" si="107"/>
        <v>2.4288376470588242E-2</v>
      </c>
      <c r="BM56">
        <f t="shared" si="108"/>
        <v>5.7999999999999996E-3</v>
      </c>
      <c r="BN56">
        <f t="shared" si="109"/>
        <v>1.1205176515050466E-5</v>
      </c>
      <c r="BO56" s="463">
        <f t="shared" si="110"/>
        <v>5.0784019726790627E-2</v>
      </c>
      <c r="BP56" s="147">
        <f t="shared" si="60"/>
        <v>50.784019726790625</v>
      </c>
      <c r="BQ56" s="463">
        <f t="shared" si="111"/>
        <v>2.5870377043420757E-2</v>
      </c>
      <c r="BR56" s="463"/>
      <c r="BT56" s="147">
        <f t="shared" si="61"/>
        <v>25.870377043420756</v>
      </c>
      <c r="BU56" s="463">
        <f t="shared" si="112"/>
        <v>6.7964304461942265E-3</v>
      </c>
      <c r="BV56" s="463">
        <f t="shared" si="113"/>
        <v>6.655953045239426E-3</v>
      </c>
      <c r="BW56" s="463">
        <f t="shared" si="114"/>
        <v>0</v>
      </c>
      <c r="BX56" s="463">
        <f t="shared" si="115"/>
        <v>1.5082901588512269E-2</v>
      </c>
      <c r="BY56" s="463">
        <f t="shared" si="116"/>
        <v>2.2666666666666672E-2</v>
      </c>
      <c r="BZ56" s="147">
        <f t="shared" si="62"/>
        <v>37.749568255178943</v>
      </c>
      <c r="CA56" s="153">
        <f t="shared" si="63"/>
        <v>0.11440396502539033</v>
      </c>
      <c r="CB56" s="5">
        <f t="shared" si="64"/>
        <v>1.02</v>
      </c>
      <c r="CC56" s="153">
        <f t="shared" si="65"/>
        <v>0.89915059489162685</v>
      </c>
      <c r="CD56" s="5">
        <f t="shared" si="66"/>
        <v>89.915059489162687</v>
      </c>
      <c r="CG56" s="59">
        <f t="shared" si="117"/>
        <v>-50</v>
      </c>
      <c r="CH56">
        <f t="shared" si="118"/>
        <v>-50</v>
      </c>
    </row>
    <row r="57" spans="5:86" x14ac:dyDescent="0.25">
      <c r="E57" s="150">
        <v>52</v>
      </c>
      <c r="F57" s="191">
        <f t="shared" si="119"/>
        <v>5.2000000000000005E-2</v>
      </c>
      <c r="G57" s="191"/>
      <c r="H57" s="191">
        <f t="shared" si="67"/>
        <v>1.04</v>
      </c>
      <c r="I57" s="472">
        <f t="shared" si="68"/>
        <v>20</v>
      </c>
      <c r="J57" s="152">
        <f t="shared" si="69"/>
        <v>20.32</v>
      </c>
      <c r="K57" s="386">
        <f t="shared" si="70"/>
        <v>40.32</v>
      </c>
      <c r="L57" s="386"/>
      <c r="M57" s="191">
        <f t="shared" si="71"/>
        <v>0.50396825396825395</v>
      </c>
      <c r="N57" s="152">
        <f t="shared" si="72"/>
        <v>3.4017857142857144</v>
      </c>
      <c r="O57" s="152">
        <f t="shared" si="53"/>
        <v>1.04</v>
      </c>
      <c r="P57" s="191">
        <f t="shared" si="73"/>
        <v>0.17008928571428572</v>
      </c>
      <c r="Q57" s="191">
        <f t="shared" si="74"/>
        <v>20</v>
      </c>
      <c r="R57" s="191">
        <f t="shared" si="75"/>
        <v>0.18898809523809523</v>
      </c>
      <c r="S57" s="152">
        <f t="shared" si="76"/>
        <v>109.86577602984411</v>
      </c>
      <c r="T57" s="152">
        <f t="shared" si="77"/>
        <v>20</v>
      </c>
      <c r="U57" s="191">
        <f t="shared" si="78"/>
        <v>0.22929133858267717</v>
      </c>
      <c r="V57" s="191">
        <f t="shared" si="79"/>
        <v>1.7196850393700787</v>
      </c>
      <c r="W57" s="191">
        <f t="shared" si="80"/>
        <v>1.6926033852067703</v>
      </c>
      <c r="X57" s="175">
        <f t="shared" si="81"/>
        <v>350</v>
      </c>
      <c r="Y57" s="386">
        <f t="shared" si="54"/>
        <v>293.05846270131985</v>
      </c>
      <c r="AA57" s="191">
        <f t="shared" si="82"/>
        <v>0.19198790627362058</v>
      </c>
      <c r="AB57" s="153">
        <f t="shared" si="83"/>
        <v>1.4172335600907029</v>
      </c>
      <c r="AC57" s="153">
        <f t="shared" si="84"/>
        <v>4.7616048182941621E-2</v>
      </c>
      <c r="AD57" s="153"/>
      <c r="AE57" s="153">
        <f t="shared" si="85"/>
        <v>1.1072834645669289</v>
      </c>
      <c r="AF57" s="317">
        <f t="shared" si="86"/>
        <v>626.15703703703707</v>
      </c>
      <c r="AG57" s="463">
        <f t="shared" si="87"/>
        <v>2.9066190944881887E-2</v>
      </c>
      <c r="AI57" s="153">
        <f t="shared" si="88"/>
        <v>0.21148404820577521</v>
      </c>
      <c r="AJ57" s="153">
        <f t="shared" si="89"/>
        <v>0.22929133858267717</v>
      </c>
      <c r="AK57" s="153">
        <f t="shared" si="90"/>
        <v>1.2528608923884514</v>
      </c>
      <c r="AM57" s="317">
        <f t="shared" si="91"/>
        <v>52.000000000000007</v>
      </c>
      <c r="AN57" s="147">
        <f t="shared" si="92"/>
        <v>293.05846270131985</v>
      </c>
      <c r="AP57">
        <f t="shared" si="93"/>
        <v>52.000000000000007</v>
      </c>
      <c r="AQ57" s="147">
        <f t="shared" si="94"/>
        <v>293.05846270131985</v>
      </c>
      <c r="AR57" s="147"/>
      <c r="AS57" s="5">
        <f t="shared" si="55"/>
        <v>3.4122884245768494</v>
      </c>
      <c r="AT57" s="5">
        <f t="shared" si="95"/>
        <v>1.7196850393700787</v>
      </c>
      <c r="AU57" s="5">
        <f t="shared" si="56"/>
        <v>1.6926033852067708</v>
      </c>
      <c r="AV57" s="5">
        <f t="shared" si="96"/>
        <v>1.6926033852067703</v>
      </c>
      <c r="AW57" s="153">
        <f t="shared" si="57"/>
        <v>0.50396825396825395</v>
      </c>
      <c r="AX57" s="153">
        <f t="shared" si="97"/>
        <v>1.1555555555555554</v>
      </c>
      <c r="AY57" s="153">
        <f t="shared" si="98"/>
        <v>5.6867891513560809E-2</v>
      </c>
      <c r="AZ57" s="153">
        <f t="shared" si="58"/>
        <v>20.319999999999997</v>
      </c>
      <c r="BA57" s="147">
        <f t="shared" si="99"/>
        <v>5.9640482169430262</v>
      </c>
      <c r="BB57" s="147">
        <f t="shared" si="100"/>
        <v>4.8168631680000003</v>
      </c>
      <c r="BC57" s="5">
        <f t="shared" si="101"/>
        <v>9.779486225639121E-2</v>
      </c>
      <c r="BD57" s="147">
        <f t="shared" si="102"/>
        <v>9.952819558972454</v>
      </c>
      <c r="BE57" s="5"/>
      <c r="BF57" s="153">
        <f t="shared" si="59"/>
        <v>9.3978522393857372E-2</v>
      </c>
      <c r="BG57" s="153">
        <f t="shared" si="103"/>
        <v>9.3235597520542279E-2</v>
      </c>
      <c r="BH57" s="153"/>
      <c r="BI57" s="463">
        <f t="shared" si="104"/>
        <v>3.0911869349664629E-3</v>
      </c>
      <c r="BJ57" s="463">
        <f t="shared" si="105"/>
        <v>1.3546666666666667E-2</v>
      </c>
      <c r="BK57" s="463">
        <f t="shared" si="106"/>
        <v>3.6632307837664983E-3</v>
      </c>
      <c r="BL57" s="463">
        <f t="shared" si="107"/>
        <v>2.3821292307692313E-2</v>
      </c>
      <c r="BM57">
        <f t="shared" si="108"/>
        <v>5.7999999999999996E-3</v>
      </c>
      <c r="BN57">
        <f t="shared" si="109"/>
        <v>1.0989692351299494E-5</v>
      </c>
      <c r="BO57" s="463">
        <f t="shared" si="110"/>
        <v>5.0379409207311536E-2</v>
      </c>
      <c r="BP57" s="147">
        <f t="shared" si="60"/>
        <v>50.379409207311539</v>
      </c>
      <c r="BQ57" s="463">
        <f t="shared" si="111"/>
        <v>2.650535775678959E-2</v>
      </c>
      <c r="BR57" s="463"/>
      <c r="BT57" s="147">
        <f t="shared" si="61"/>
        <v>26.505357756789589</v>
      </c>
      <c r="BU57" s="463">
        <f t="shared" si="112"/>
        <v>7.0655701370662023E-3</v>
      </c>
      <c r="BV57" s="463">
        <f t="shared" si="113"/>
        <v>6.919529809429989E-3</v>
      </c>
      <c r="BW57" s="463">
        <f t="shared" si="114"/>
        <v>0</v>
      </c>
      <c r="BX57" s="463">
        <f t="shared" si="115"/>
        <v>1.5680855806932258E-2</v>
      </c>
      <c r="BY57" s="463">
        <f t="shared" si="116"/>
        <v>2.3111111111111117E-2</v>
      </c>
      <c r="BZ57" s="147">
        <f t="shared" si="62"/>
        <v>38.791966918043371</v>
      </c>
      <c r="CA57" s="153">
        <f t="shared" si="63"/>
        <v>0.1156767338821445</v>
      </c>
      <c r="CB57" s="5">
        <f t="shared" si="64"/>
        <v>1.04</v>
      </c>
      <c r="CC57" s="153">
        <f t="shared" si="65"/>
        <v>0.89990563062253259</v>
      </c>
      <c r="CD57" s="5">
        <f t="shared" si="66"/>
        <v>89.990563062253258</v>
      </c>
      <c r="CG57" s="59">
        <f t="shared" si="117"/>
        <v>-50</v>
      </c>
      <c r="CH57">
        <f t="shared" si="118"/>
        <v>-50</v>
      </c>
    </row>
    <row r="58" spans="5:86" x14ac:dyDescent="0.25">
      <c r="E58" s="150">
        <v>53</v>
      </c>
      <c r="F58" s="191">
        <f t="shared" si="119"/>
        <v>5.3000000000000005E-2</v>
      </c>
      <c r="G58" s="191"/>
      <c r="H58" s="191">
        <f t="shared" si="67"/>
        <v>1.06</v>
      </c>
      <c r="I58" s="472">
        <f t="shared" si="68"/>
        <v>20</v>
      </c>
      <c r="J58" s="152">
        <f t="shared" si="69"/>
        <v>20.32</v>
      </c>
      <c r="K58" s="386">
        <f t="shared" si="70"/>
        <v>40.32</v>
      </c>
      <c r="L58" s="386"/>
      <c r="M58" s="191">
        <f t="shared" si="71"/>
        <v>0.50396825396825395</v>
      </c>
      <c r="N58" s="152">
        <f t="shared" si="72"/>
        <v>3.4017857142857144</v>
      </c>
      <c r="O58" s="152">
        <f t="shared" si="53"/>
        <v>1.06</v>
      </c>
      <c r="P58" s="191">
        <f t="shared" si="73"/>
        <v>0.17008928571428572</v>
      </c>
      <c r="Q58" s="191">
        <f t="shared" si="74"/>
        <v>20</v>
      </c>
      <c r="R58" s="191">
        <f t="shared" si="75"/>
        <v>0.18898809523809523</v>
      </c>
      <c r="S58" s="152">
        <f t="shared" si="76"/>
        <v>107.41789399191572</v>
      </c>
      <c r="T58" s="152">
        <f t="shared" si="77"/>
        <v>20</v>
      </c>
      <c r="U58" s="191">
        <f t="shared" si="78"/>
        <v>0.23370078740157482</v>
      </c>
      <c r="V58" s="191">
        <f t="shared" si="79"/>
        <v>1.7527559055118109</v>
      </c>
      <c r="W58" s="191">
        <f t="shared" si="80"/>
        <v>1.7251534503069006</v>
      </c>
      <c r="X58" s="175">
        <f t="shared" si="81"/>
        <v>350</v>
      </c>
      <c r="Y58" s="386">
        <f t="shared" si="54"/>
        <v>287.52905774469116</v>
      </c>
      <c r="AA58" s="191">
        <f t="shared" si="82"/>
        <v>0.19198790627362058</v>
      </c>
      <c r="AB58" s="153">
        <f t="shared" si="83"/>
        <v>1.4172335600907029</v>
      </c>
      <c r="AC58" s="153">
        <f t="shared" si="84"/>
        <v>4.7616048182941621E-2</v>
      </c>
      <c r="AD58" s="153"/>
      <c r="AE58" s="153">
        <f t="shared" si="85"/>
        <v>1.1072834645669289</v>
      </c>
      <c r="AF58" s="317">
        <f t="shared" si="86"/>
        <v>638.19851851851865</v>
      </c>
      <c r="AG58" s="463">
        <f t="shared" si="87"/>
        <v>2.9066190944881887E-2</v>
      </c>
      <c r="AI58" s="153">
        <f t="shared" si="88"/>
        <v>0.213507865114165</v>
      </c>
      <c r="AJ58" s="153">
        <f t="shared" si="89"/>
        <v>0.23370078740157482</v>
      </c>
      <c r="AK58" s="153">
        <f t="shared" si="90"/>
        <v>1.2558005249343831</v>
      </c>
      <c r="AM58" s="317">
        <f t="shared" si="91"/>
        <v>53.000000000000007</v>
      </c>
      <c r="AN58" s="147">
        <f t="shared" si="92"/>
        <v>287.52905774469116</v>
      </c>
      <c r="AP58">
        <f t="shared" si="93"/>
        <v>53.000000000000007</v>
      </c>
      <c r="AQ58" s="147">
        <f t="shared" si="94"/>
        <v>287.52905774469116</v>
      </c>
      <c r="AR58" s="147"/>
      <c r="AS58" s="5">
        <f t="shared" si="55"/>
        <v>3.4779093558187117</v>
      </c>
      <c r="AT58" s="5">
        <f t="shared" si="95"/>
        <v>1.7527559055118109</v>
      </c>
      <c r="AU58" s="5">
        <f t="shared" si="56"/>
        <v>1.7251534503069008</v>
      </c>
      <c r="AV58" s="5">
        <f t="shared" si="96"/>
        <v>1.7251534503069006</v>
      </c>
      <c r="AW58" s="153">
        <f t="shared" si="57"/>
        <v>0.50396825396825395</v>
      </c>
      <c r="AX58" s="153">
        <f t="shared" si="97"/>
        <v>1.177777777777778</v>
      </c>
      <c r="AY58" s="153">
        <f t="shared" si="98"/>
        <v>5.7961504811898518E-2</v>
      </c>
      <c r="AZ58" s="153">
        <f t="shared" si="58"/>
        <v>20.320000000000004</v>
      </c>
      <c r="BA58" s="147">
        <f t="shared" si="99"/>
        <v>5.9640482169430262</v>
      </c>
      <c r="BB58" s="147">
        <f t="shared" si="100"/>
        <v>5.0008508279999999</v>
      </c>
      <c r="BC58" s="5">
        <f t="shared" si="101"/>
        <v>0.10159236985140639</v>
      </c>
      <c r="BD58" s="147">
        <f t="shared" si="102"/>
        <v>10.335903651807307</v>
      </c>
      <c r="BE58" s="5"/>
      <c r="BF58" s="153">
        <f t="shared" si="59"/>
        <v>9.5785801670662321E-2</v>
      </c>
      <c r="BG58" s="153">
        <f t="shared" si="103"/>
        <v>9.5028589780552716E-2</v>
      </c>
      <c r="BH58" s="153"/>
      <c r="BI58" s="463">
        <f t="shared" si="104"/>
        <v>3.2112219305920095E-3</v>
      </c>
      <c r="BJ58" s="463">
        <f t="shared" si="105"/>
        <v>1.3546666666666667E-2</v>
      </c>
      <c r="BK58" s="463">
        <f t="shared" si="106"/>
        <v>3.5941132218086395E-3</v>
      </c>
      <c r="BL58" s="463">
        <f t="shared" si="107"/>
        <v>2.3371833962264155E-2</v>
      </c>
      <c r="BM58">
        <f t="shared" si="108"/>
        <v>5.7999999999999996E-3</v>
      </c>
      <c r="BN58">
        <f t="shared" si="109"/>
        <v>1.0782339665425917E-5</v>
      </c>
      <c r="BO58" s="463">
        <f t="shared" si="110"/>
        <v>4.9997755274002721E-2</v>
      </c>
      <c r="BP58" s="147">
        <f t="shared" si="60"/>
        <v>49.997755274002721</v>
      </c>
      <c r="BQ58" s="463">
        <f t="shared" si="111"/>
        <v>2.714525071701996E-2</v>
      </c>
      <c r="BR58" s="463"/>
      <c r="BT58" s="147">
        <f t="shared" si="61"/>
        <v>27.145250717019959</v>
      </c>
      <c r="BU58" s="463">
        <f t="shared" si="112"/>
        <v>7.3399358413531656E-3</v>
      </c>
      <c r="BV58" s="463">
        <f t="shared" si="113"/>
        <v>7.1882245690417321E-3</v>
      </c>
      <c r="BW58" s="463">
        <f t="shared" si="114"/>
        <v>0</v>
      </c>
      <c r="BX58" s="463">
        <f t="shared" si="115"/>
        <v>1.6290473308393134E-2</v>
      </c>
      <c r="BY58" s="463">
        <f t="shared" si="116"/>
        <v>2.3555555555555559E-2</v>
      </c>
      <c r="BZ58" s="147">
        <f t="shared" si="62"/>
        <v>39.846028863948696</v>
      </c>
      <c r="CA58" s="153">
        <f t="shared" si="63"/>
        <v>0.11698903485497136</v>
      </c>
      <c r="CB58" s="5">
        <f t="shared" si="64"/>
        <v>1.06</v>
      </c>
      <c r="CC58" s="153">
        <f t="shared" si="65"/>
        <v>0.90060312255212582</v>
      </c>
      <c r="CD58" s="5">
        <f t="shared" si="66"/>
        <v>90.06031225521258</v>
      </c>
      <c r="CG58" s="59">
        <f t="shared" si="117"/>
        <v>-50</v>
      </c>
      <c r="CH58">
        <f t="shared" si="118"/>
        <v>-50</v>
      </c>
    </row>
    <row r="59" spans="5:86" x14ac:dyDescent="0.25">
      <c r="E59" s="150">
        <v>54</v>
      </c>
      <c r="F59" s="191">
        <f t="shared" si="119"/>
        <v>5.4000000000000006E-2</v>
      </c>
      <c r="G59" s="191"/>
      <c r="H59" s="191">
        <f t="shared" si="67"/>
        <v>1.08</v>
      </c>
      <c r="I59" s="472">
        <f t="shared" si="68"/>
        <v>20</v>
      </c>
      <c r="J59" s="152">
        <f t="shared" si="69"/>
        <v>20.32</v>
      </c>
      <c r="K59" s="386">
        <f t="shared" si="70"/>
        <v>40.32</v>
      </c>
      <c r="L59" s="386"/>
      <c r="M59" s="191">
        <f t="shared" si="71"/>
        <v>0.50396825396825395</v>
      </c>
      <c r="N59" s="152">
        <f t="shared" si="72"/>
        <v>3.4017857142857144</v>
      </c>
      <c r="O59" s="152">
        <f t="shared" si="53"/>
        <v>1.08</v>
      </c>
      <c r="P59" s="191">
        <f t="shared" si="73"/>
        <v>0.17008928571428572</v>
      </c>
      <c r="Q59" s="191">
        <f t="shared" si="74"/>
        <v>20</v>
      </c>
      <c r="R59" s="191">
        <f t="shared" si="75"/>
        <v>0.18898809523809523</v>
      </c>
      <c r="S59" s="152">
        <f t="shared" si="76"/>
        <v>105.06073216487039</v>
      </c>
      <c r="T59" s="152">
        <f t="shared" si="77"/>
        <v>20</v>
      </c>
      <c r="U59" s="191">
        <f t="shared" si="78"/>
        <v>0.23811023622047248</v>
      </c>
      <c r="V59" s="191">
        <f t="shared" si="79"/>
        <v>1.7858267716535434</v>
      </c>
      <c r="W59" s="191">
        <f t="shared" si="80"/>
        <v>1.7577035154070308</v>
      </c>
      <c r="X59" s="175">
        <f t="shared" si="81"/>
        <v>350</v>
      </c>
      <c r="Y59" s="386">
        <f t="shared" si="54"/>
        <v>282.20444556423394</v>
      </c>
      <c r="AA59" s="191">
        <f t="shared" si="82"/>
        <v>0.19198790627362058</v>
      </c>
      <c r="AB59" s="153">
        <f t="shared" si="83"/>
        <v>1.4172335600907029</v>
      </c>
      <c r="AC59" s="153">
        <f t="shared" si="84"/>
        <v>4.7616048182941621E-2</v>
      </c>
      <c r="AD59" s="153"/>
      <c r="AE59" s="153">
        <f t="shared" si="85"/>
        <v>1.1072834645669289</v>
      </c>
      <c r="AF59" s="317">
        <f t="shared" si="86"/>
        <v>650.24000000000012</v>
      </c>
      <c r="AG59" s="463">
        <f t="shared" si="87"/>
        <v>2.9066190944881887E-2</v>
      </c>
      <c r="AI59" s="153">
        <f t="shared" si="88"/>
        <v>0.21551267778419508</v>
      </c>
      <c r="AJ59" s="153">
        <f t="shared" si="89"/>
        <v>0.23811023622047248</v>
      </c>
      <c r="AK59" s="153">
        <f t="shared" si="90"/>
        <v>1.258740157480315</v>
      </c>
      <c r="AM59" s="317">
        <f t="shared" si="91"/>
        <v>54.000000000000007</v>
      </c>
      <c r="AN59" s="147">
        <f t="shared" si="92"/>
        <v>282.20444556423394</v>
      </c>
      <c r="AP59">
        <f t="shared" si="93"/>
        <v>54.000000000000007</v>
      </c>
      <c r="AQ59" s="147">
        <f t="shared" si="94"/>
        <v>282.20444556423394</v>
      </c>
      <c r="AR59" s="147"/>
      <c r="AS59" s="5">
        <f t="shared" si="55"/>
        <v>3.543530287060574</v>
      </c>
      <c r="AT59" s="5">
        <f t="shared" si="95"/>
        <v>1.7858267716535434</v>
      </c>
      <c r="AU59" s="5">
        <f t="shared" si="56"/>
        <v>1.7577035154070306</v>
      </c>
      <c r="AV59" s="5">
        <f t="shared" si="96"/>
        <v>1.7577035154070308</v>
      </c>
      <c r="AW59" s="153">
        <f t="shared" si="57"/>
        <v>0.50396825396825407</v>
      </c>
      <c r="AX59" s="153">
        <f t="shared" si="97"/>
        <v>1.2000000000000002</v>
      </c>
      <c r="AY59" s="153">
        <f t="shared" si="98"/>
        <v>5.905511811023622E-2</v>
      </c>
      <c r="AZ59" s="153">
        <f t="shared" si="58"/>
        <v>20.320000000000004</v>
      </c>
      <c r="BA59" s="147">
        <f t="shared" si="99"/>
        <v>5.9640482169430262</v>
      </c>
      <c r="BB59" s="147">
        <f t="shared" si="100"/>
        <v>5.1882858719999989</v>
      </c>
      <c r="BC59" s="5">
        <f t="shared" si="101"/>
        <v>0.10546221092442183</v>
      </c>
      <c r="BD59" s="147">
        <f t="shared" si="102"/>
        <v>10.726221092442183</v>
      </c>
      <c r="BE59" s="5"/>
      <c r="BF59" s="153">
        <f t="shared" si="59"/>
        <v>9.7593080947467284E-2</v>
      </c>
      <c r="BG59" s="153">
        <f t="shared" si="103"/>
        <v>9.6821582040563139E-2</v>
      </c>
      <c r="BH59" s="153"/>
      <c r="BI59" s="463">
        <f t="shared" si="104"/>
        <v>3.3335433070866153E-3</v>
      </c>
      <c r="BJ59" s="463">
        <f t="shared" si="105"/>
        <v>1.354666666666667E-2</v>
      </c>
      <c r="BK59" s="463">
        <f t="shared" si="106"/>
        <v>3.5275555695529238E-3</v>
      </c>
      <c r="BL59" s="463">
        <f t="shared" si="107"/>
        <v>2.2939022222222227E-2</v>
      </c>
      <c r="BM59">
        <f t="shared" si="108"/>
        <v>5.7999999999999996E-3</v>
      </c>
      <c r="BN59">
        <f t="shared" si="109"/>
        <v>1.0582666708658772E-5</v>
      </c>
      <c r="BO59" s="463">
        <f t="shared" si="110"/>
        <v>4.9637928027411786E-2</v>
      </c>
      <c r="BP59" s="147">
        <f t="shared" si="60"/>
        <v>49.637928027411789</v>
      </c>
      <c r="BQ59" s="463">
        <f t="shared" si="111"/>
        <v>2.7790055924111854E-2</v>
      </c>
      <c r="BR59" s="463"/>
      <c r="BT59" s="147">
        <f t="shared" si="61"/>
        <v>27.790055924111854</v>
      </c>
      <c r="BU59" s="463">
        <f t="shared" si="112"/>
        <v>7.6195275590551217E-3</v>
      </c>
      <c r="BV59" s="463">
        <f t="shared" si="113"/>
        <v>7.4620373240746486E-3</v>
      </c>
      <c r="BW59" s="463">
        <f t="shared" si="114"/>
        <v>0</v>
      </c>
      <c r="BX59" s="463">
        <f t="shared" si="115"/>
        <v>1.6911757130100971E-2</v>
      </c>
      <c r="BY59" s="463">
        <f t="shared" si="116"/>
        <v>2.4000000000000007E-2</v>
      </c>
      <c r="BZ59" s="147">
        <f t="shared" si="62"/>
        <v>40.91175713010098</v>
      </c>
      <c r="CA59" s="153">
        <f t="shared" si="63"/>
        <v>0.11833974108162462</v>
      </c>
      <c r="CB59" s="5">
        <f t="shared" si="64"/>
        <v>1.08</v>
      </c>
      <c r="CC59" s="153">
        <f t="shared" si="65"/>
        <v>0.90124691936294221</v>
      </c>
      <c r="CD59" s="5">
        <f t="shared" si="66"/>
        <v>90.124691936294226</v>
      </c>
      <c r="CG59" s="59">
        <f t="shared" si="117"/>
        <v>-50</v>
      </c>
      <c r="CH59">
        <f t="shared" si="118"/>
        <v>-50</v>
      </c>
    </row>
    <row r="60" spans="5:86" x14ac:dyDescent="0.25">
      <c r="E60" s="150">
        <v>55</v>
      </c>
      <c r="F60" s="191">
        <f t="shared" si="119"/>
        <v>5.5000000000000007E-2</v>
      </c>
      <c r="G60" s="191"/>
      <c r="H60" s="191">
        <f t="shared" si="67"/>
        <v>1.1000000000000001</v>
      </c>
      <c r="I60" s="472">
        <f t="shared" si="68"/>
        <v>20</v>
      </c>
      <c r="J60" s="152">
        <f t="shared" si="69"/>
        <v>20.32</v>
      </c>
      <c r="K60" s="386">
        <f t="shared" si="70"/>
        <v>40.32</v>
      </c>
      <c r="L60" s="386"/>
      <c r="M60" s="191">
        <f t="shared" si="71"/>
        <v>0.50396825396825395</v>
      </c>
      <c r="N60" s="152">
        <f t="shared" si="72"/>
        <v>3.4017857142857144</v>
      </c>
      <c r="O60" s="152">
        <f t="shared" si="53"/>
        <v>1.1000000000000001</v>
      </c>
      <c r="P60" s="191">
        <f t="shared" si="73"/>
        <v>0.17008928571428572</v>
      </c>
      <c r="Q60" s="191">
        <f t="shared" si="74"/>
        <v>20</v>
      </c>
      <c r="R60" s="191">
        <f t="shared" si="75"/>
        <v>0.18898809523809523</v>
      </c>
      <c r="S60" s="152">
        <f t="shared" si="76"/>
        <v>102.78934275728993</v>
      </c>
      <c r="T60" s="152">
        <f t="shared" si="77"/>
        <v>20</v>
      </c>
      <c r="U60" s="191">
        <f t="shared" si="78"/>
        <v>0.2425196850393701</v>
      </c>
      <c r="V60" s="191">
        <f t="shared" si="79"/>
        <v>1.8188976377952755</v>
      </c>
      <c r="W60" s="191">
        <f t="shared" si="80"/>
        <v>1.7902535805071607</v>
      </c>
      <c r="X60" s="175">
        <f t="shared" si="81"/>
        <v>350</v>
      </c>
      <c r="Y60" s="386">
        <f t="shared" si="54"/>
        <v>277.07345564488423</v>
      </c>
      <c r="AA60" s="191">
        <f t="shared" si="82"/>
        <v>0.19198790627362058</v>
      </c>
      <c r="AB60" s="153">
        <f t="shared" si="83"/>
        <v>1.4172335600907029</v>
      </c>
      <c r="AC60" s="153">
        <f t="shared" si="84"/>
        <v>4.7616048182941621E-2</v>
      </c>
      <c r="AD60" s="153"/>
      <c r="AE60" s="153">
        <f t="shared" si="85"/>
        <v>1.1072834645669289</v>
      </c>
      <c r="AF60" s="317">
        <f t="shared" si="86"/>
        <v>662.28148148148159</v>
      </c>
      <c r="AG60" s="463">
        <f t="shared" si="87"/>
        <v>2.9066190944881887E-2</v>
      </c>
      <c r="AI60" s="153">
        <f t="shared" si="88"/>
        <v>0.21749901173527231</v>
      </c>
      <c r="AJ60" s="153">
        <f t="shared" si="89"/>
        <v>0.2425196850393701</v>
      </c>
      <c r="AK60" s="153">
        <f t="shared" si="90"/>
        <v>1.2616797900262466</v>
      </c>
      <c r="AM60" s="317">
        <f t="shared" si="91"/>
        <v>55.000000000000007</v>
      </c>
      <c r="AN60" s="147">
        <f t="shared" si="92"/>
        <v>277.07345564488423</v>
      </c>
      <c r="AP60">
        <f t="shared" si="93"/>
        <v>55.000000000000007</v>
      </c>
      <c r="AQ60">
        <f t="shared" si="94"/>
        <v>277.07345564488423</v>
      </c>
      <c r="AS60" s="5">
        <f t="shared" si="55"/>
        <v>3.6091512183024363</v>
      </c>
      <c r="AT60" s="5">
        <f t="shared" si="95"/>
        <v>1.8188976377952755</v>
      </c>
      <c r="AU60" s="5">
        <f t="shared" si="56"/>
        <v>1.7902535805071609</v>
      </c>
      <c r="AV60" s="5">
        <f t="shared" si="96"/>
        <v>1.7902535805071607</v>
      </c>
      <c r="AW60" s="153">
        <f t="shared" si="57"/>
        <v>0.50396825396825395</v>
      </c>
      <c r="AX60" s="153">
        <f t="shared" si="97"/>
        <v>1.2222222222222221</v>
      </c>
      <c r="AY60" s="153">
        <f t="shared" si="98"/>
        <v>6.0148731408573936E-2</v>
      </c>
      <c r="AZ60" s="153">
        <f t="shared" si="58"/>
        <v>20.319999999999997</v>
      </c>
      <c r="BA60" s="147">
        <f t="shared" si="99"/>
        <v>5.9640482169430262</v>
      </c>
      <c r="BB60" s="147">
        <f t="shared" si="100"/>
        <v>5.3791682999999999</v>
      </c>
      <c r="BC60" s="5">
        <f t="shared" si="101"/>
        <v>0.10940438547543761</v>
      </c>
      <c r="BD60" s="147">
        <f t="shared" si="102"/>
        <v>11.123771880877095</v>
      </c>
      <c r="BE60" s="5"/>
      <c r="BF60" s="153">
        <f t="shared" si="59"/>
        <v>9.9400360224272233E-2</v>
      </c>
      <c r="BG60" s="153">
        <f t="shared" si="103"/>
        <v>9.8614574300573576E-2</v>
      </c>
      <c r="BH60" s="153"/>
      <c r="BI60" s="463">
        <f t="shared" si="104"/>
        <v>3.4581510644502785E-3</v>
      </c>
      <c r="BJ60" s="463">
        <f t="shared" si="105"/>
        <v>1.354666666666667E-2</v>
      </c>
      <c r="BK60" s="463">
        <f t="shared" si="106"/>
        <v>3.4634181955610528E-3</v>
      </c>
      <c r="BL60" s="463">
        <f t="shared" si="107"/>
        <v>2.2521949090909099E-2</v>
      </c>
      <c r="BM60">
        <f t="shared" si="108"/>
        <v>5.7999999999999996E-3</v>
      </c>
      <c r="BN60">
        <f t="shared" si="109"/>
        <v>1.0390254586683158E-5</v>
      </c>
      <c r="BO60" s="463">
        <f t="shared" si="110"/>
        <v>4.9298879774497935E-2</v>
      </c>
      <c r="BP60" s="147">
        <f t="shared" si="60"/>
        <v>49.298879774497934</v>
      </c>
      <c r="BQ60" s="463">
        <f t="shared" si="111"/>
        <v>2.8439773378065282E-2</v>
      </c>
      <c r="BR60" s="463"/>
      <c r="BT60" s="147">
        <f t="shared" si="61"/>
        <v>28.439773378065283</v>
      </c>
      <c r="BU60" s="463">
        <f t="shared" si="112"/>
        <v>7.9043452901720653E-3</v>
      </c>
      <c r="BV60" s="463">
        <f t="shared" si="113"/>
        <v>7.7409680745287443E-3</v>
      </c>
      <c r="BW60" s="463">
        <f t="shared" si="114"/>
        <v>0</v>
      </c>
      <c r="BX60" s="463">
        <f t="shared" si="115"/>
        <v>1.7544710367792673E-2</v>
      </c>
      <c r="BY60" s="463">
        <f t="shared" si="116"/>
        <v>2.4444444444444449E-2</v>
      </c>
      <c r="BZ60" s="147">
        <f t="shared" si="62"/>
        <v>41.989154812237125</v>
      </c>
      <c r="CA60" s="153">
        <f t="shared" si="63"/>
        <v>0.11972780796480034</v>
      </c>
      <c r="CB60" s="5">
        <f t="shared" si="64"/>
        <v>1.1000000000000001</v>
      </c>
      <c r="CC60" s="153">
        <f t="shared" si="65"/>
        <v>0.90184055230767068</v>
      </c>
      <c r="CD60" s="5">
        <f t="shared" si="66"/>
        <v>90.184055230767072</v>
      </c>
      <c r="CG60" s="59">
        <f t="shared" si="117"/>
        <v>-50</v>
      </c>
      <c r="CH60">
        <f t="shared" si="118"/>
        <v>-50</v>
      </c>
    </row>
    <row r="61" spans="5:86" x14ac:dyDescent="0.25">
      <c r="E61" s="150">
        <v>56</v>
      </c>
      <c r="F61" s="191">
        <f t="shared" si="119"/>
        <v>5.6000000000000008E-2</v>
      </c>
      <c r="G61" s="191"/>
      <c r="H61" s="191">
        <f t="shared" si="67"/>
        <v>1.1200000000000001</v>
      </c>
      <c r="I61" s="472">
        <f t="shared" si="68"/>
        <v>20</v>
      </c>
      <c r="J61" s="152">
        <f t="shared" si="69"/>
        <v>20.32</v>
      </c>
      <c r="K61" s="386">
        <f t="shared" si="70"/>
        <v>40.32</v>
      </c>
      <c r="L61" s="386"/>
      <c r="M61" s="191">
        <f t="shared" si="71"/>
        <v>0.50396825396825395</v>
      </c>
      <c r="N61" s="152">
        <f t="shared" si="72"/>
        <v>3.4017857142857144</v>
      </c>
      <c r="O61" s="152">
        <f t="shared" si="53"/>
        <v>1.1200000000000001</v>
      </c>
      <c r="P61" s="191">
        <f t="shared" si="73"/>
        <v>0.17008928571428572</v>
      </c>
      <c r="Q61" s="191">
        <f t="shared" si="74"/>
        <v>20</v>
      </c>
      <c r="R61" s="191">
        <f t="shared" si="75"/>
        <v>0.18898809523809523</v>
      </c>
      <c r="S61" s="152">
        <f t="shared" si="76"/>
        <v>100.59913139911261</v>
      </c>
      <c r="T61" s="152">
        <f t="shared" si="77"/>
        <v>20</v>
      </c>
      <c r="U61" s="191">
        <f t="shared" si="78"/>
        <v>0.24692913385826776</v>
      </c>
      <c r="V61" s="191">
        <f t="shared" si="79"/>
        <v>1.8519685039370082</v>
      </c>
      <c r="W61" s="191">
        <f t="shared" si="80"/>
        <v>1.8228036456072914</v>
      </c>
      <c r="X61" s="175">
        <f t="shared" si="81"/>
        <v>350</v>
      </c>
      <c r="Y61" s="386">
        <f t="shared" si="54"/>
        <v>272.12571536551127</v>
      </c>
      <c r="AA61" s="191">
        <f t="shared" si="82"/>
        <v>0.19198790627362058</v>
      </c>
      <c r="AB61" s="153">
        <f t="shared" si="83"/>
        <v>1.4172335600907029</v>
      </c>
      <c r="AC61" s="153">
        <f t="shared" si="84"/>
        <v>4.7616048182941621E-2</v>
      </c>
      <c r="AD61" s="153"/>
      <c r="AE61" s="153">
        <f t="shared" si="85"/>
        <v>1.1072834645669289</v>
      </c>
      <c r="AF61" s="317">
        <f t="shared" si="86"/>
        <v>674.32296296296317</v>
      </c>
      <c r="AG61" s="463">
        <f t="shared" si="87"/>
        <v>2.9066190944881887E-2</v>
      </c>
      <c r="AI61" s="153">
        <f t="shared" si="88"/>
        <v>0.21946736870415598</v>
      </c>
      <c r="AJ61" s="153">
        <f t="shared" si="89"/>
        <v>0.24692913385826776</v>
      </c>
      <c r="AK61" s="153">
        <f t="shared" si="90"/>
        <v>1.2646194225721785</v>
      </c>
      <c r="AM61" s="317">
        <f t="shared" si="91"/>
        <v>56.000000000000007</v>
      </c>
      <c r="AN61" s="147">
        <f t="shared" si="92"/>
        <v>272.12571536551127</v>
      </c>
      <c r="AP61">
        <f t="shared" si="93"/>
        <v>56.000000000000007</v>
      </c>
      <c r="AQ61">
        <f t="shared" si="94"/>
        <v>272.12571536551127</v>
      </c>
      <c r="AS61" s="5">
        <f t="shared" si="55"/>
        <v>3.6747721495442995</v>
      </c>
      <c r="AT61" s="5">
        <f t="shared" si="95"/>
        <v>1.8519685039370082</v>
      </c>
      <c r="AU61" s="5">
        <f t="shared" si="56"/>
        <v>1.8228036456072914</v>
      </c>
      <c r="AV61" s="5">
        <f t="shared" si="96"/>
        <v>1.8228036456072914</v>
      </c>
      <c r="AW61" s="153">
        <f t="shared" si="57"/>
        <v>0.50396825396825395</v>
      </c>
      <c r="AX61" s="153">
        <f t="shared" si="97"/>
        <v>1.2444444444444445</v>
      </c>
      <c r="AY61" s="153">
        <f t="shared" si="98"/>
        <v>6.1242344706911651E-2</v>
      </c>
      <c r="AZ61" s="153">
        <f t="shared" si="58"/>
        <v>20.319999999999997</v>
      </c>
      <c r="BA61" s="147">
        <f t="shared" si="99"/>
        <v>5.9640482169430262</v>
      </c>
      <c r="BB61" s="147">
        <f t="shared" si="100"/>
        <v>5.5734981120000011</v>
      </c>
      <c r="BC61" s="5">
        <f t="shared" si="101"/>
        <v>0.11341889350445368</v>
      </c>
      <c r="BD61" s="147">
        <f t="shared" si="102"/>
        <v>11.528556017112036</v>
      </c>
      <c r="BE61" s="5"/>
      <c r="BF61" s="153">
        <f t="shared" si="59"/>
        <v>0.10120763950107718</v>
      </c>
      <c r="BG61" s="153">
        <f t="shared" si="103"/>
        <v>0.10040756656058401</v>
      </c>
      <c r="BH61" s="153"/>
      <c r="BI61" s="463">
        <f t="shared" si="104"/>
        <v>3.5850452026829991E-3</v>
      </c>
      <c r="BJ61" s="463">
        <f t="shared" si="105"/>
        <v>1.354666666666667E-2</v>
      </c>
      <c r="BK61" s="463">
        <f t="shared" si="106"/>
        <v>3.4015714420688905E-3</v>
      </c>
      <c r="BL61" s="463">
        <f t="shared" si="107"/>
        <v>2.2119771428571432E-2</v>
      </c>
      <c r="BM61">
        <f t="shared" si="108"/>
        <v>5.7999999999999996E-3</v>
      </c>
      <c r="BN61">
        <f t="shared" si="109"/>
        <v>1.0204714326206671E-5</v>
      </c>
      <c r="BO61" s="463">
        <f t="shared" si="110"/>
        <v>4.8979637689369415E-2</v>
      </c>
      <c r="BP61" s="147">
        <f t="shared" si="60"/>
        <v>48.979637689369412</v>
      </c>
      <c r="BQ61" s="463">
        <f t="shared" si="111"/>
        <v>2.9094403078880237E-2</v>
      </c>
      <c r="BR61" s="463"/>
      <c r="BT61" s="147">
        <f t="shared" si="61"/>
        <v>29.094403078880237</v>
      </c>
      <c r="BU61" s="463">
        <f t="shared" si="112"/>
        <v>8.1943890347039982E-3</v>
      </c>
      <c r="BV61" s="463">
        <f t="shared" si="113"/>
        <v>8.025016820404015E-3</v>
      </c>
      <c r="BW61" s="463">
        <f t="shared" si="114"/>
        <v>0</v>
      </c>
      <c r="BX61" s="463">
        <f t="shared" si="115"/>
        <v>1.8189336175774565E-2</v>
      </c>
      <c r="BY61" s="463">
        <f t="shared" si="116"/>
        <v>2.4888888888888894E-2</v>
      </c>
      <c r="BZ61" s="147">
        <f t="shared" si="62"/>
        <v>43.078225064663457</v>
      </c>
      <c r="CA61" s="153">
        <f t="shared" si="63"/>
        <v>0.12115226583291311</v>
      </c>
      <c r="CB61" s="5">
        <f t="shared" si="64"/>
        <v>1.1200000000000001</v>
      </c>
      <c r="CC61" s="153">
        <f t="shared" si="65"/>
        <v>0.90238726611709463</v>
      </c>
      <c r="CD61" s="5">
        <f t="shared" si="66"/>
        <v>90.238726611709467</v>
      </c>
      <c r="CG61" s="59">
        <f t="shared" si="117"/>
        <v>-50</v>
      </c>
      <c r="CH61">
        <f t="shared" si="118"/>
        <v>-50</v>
      </c>
    </row>
    <row r="62" spans="5:86" x14ac:dyDescent="0.25">
      <c r="E62" s="150">
        <v>57</v>
      </c>
      <c r="F62" s="191">
        <f t="shared" si="119"/>
        <v>5.6999999999999995E-2</v>
      </c>
      <c r="G62" s="191"/>
      <c r="H62" s="191">
        <f t="shared" si="67"/>
        <v>1.1399999999999999</v>
      </c>
      <c r="I62" s="472">
        <f t="shared" si="68"/>
        <v>20</v>
      </c>
      <c r="J62" s="152">
        <f t="shared" si="69"/>
        <v>20.32</v>
      </c>
      <c r="K62" s="386">
        <f t="shared" si="70"/>
        <v>40.32</v>
      </c>
      <c r="L62" s="386"/>
      <c r="M62" s="191">
        <f t="shared" si="71"/>
        <v>0.50396825396825395</v>
      </c>
      <c r="N62" s="152">
        <f t="shared" si="72"/>
        <v>3.4017857142857144</v>
      </c>
      <c r="O62" s="152">
        <f t="shared" si="53"/>
        <v>1.1399999999999999</v>
      </c>
      <c r="P62" s="191">
        <f t="shared" si="73"/>
        <v>0.17008928571428572</v>
      </c>
      <c r="Q62" s="191">
        <f t="shared" si="74"/>
        <v>20</v>
      </c>
      <c r="R62" s="191">
        <f t="shared" si="75"/>
        <v>0.18898809523809523</v>
      </c>
      <c r="S62" s="152">
        <f t="shared" si="76"/>
        <v>98.485826139883414</v>
      </c>
      <c r="T62" s="152">
        <f t="shared" si="77"/>
        <v>20</v>
      </c>
      <c r="U62" s="191">
        <f t="shared" si="78"/>
        <v>0.25133858267716536</v>
      </c>
      <c r="V62" s="191">
        <f t="shared" si="79"/>
        <v>1.8850393700787398</v>
      </c>
      <c r="W62" s="191">
        <f t="shared" si="80"/>
        <v>1.8553537107074209</v>
      </c>
      <c r="X62" s="175">
        <f t="shared" si="81"/>
        <v>350</v>
      </c>
      <c r="Y62" s="386">
        <f t="shared" si="54"/>
        <v>267.35158000822167</v>
      </c>
      <c r="AA62" s="191">
        <f t="shared" si="82"/>
        <v>0.19198790627362058</v>
      </c>
      <c r="AB62" s="153">
        <f t="shared" si="83"/>
        <v>1.4172335600907029</v>
      </c>
      <c r="AC62" s="153">
        <f t="shared" si="84"/>
        <v>4.7616048182941621E-2</v>
      </c>
      <c r="AD62" s="153"/>
      <c r="AE62" s="153">
        <f t="shared" si="85"/>
        <v>1.1072834645669289</v>
      </c>
      <c r="AF62" s="317">
        <f t="shared" si="86"/>
        <v>686.36444444444442</v>
      </c>
      <c r="AG62" s="463">
        <f t="shared" si="87"/>
        <v>2.9066190944881887E-2</v>
      </c>
      <c r="AI62" s="153">
        <f t="shared" si="88"/>
        <v>0.22141822812503886</v>
      </c>
      <c r="AJ62" s="153">
        <f t="shared" si="89"/>
        <v>0.25133858267716536</v>
      </c>
      <c r="AK62" s="153">
        <f t="shared" si="90"/>
        <v>1.2675590551181102</v>
      </c>
      <c r="AM62" s="317">
        <f t="shared" si="91"/>
        <v>56.999999999999993</v>
      </c>
      <c r="AN62" s="147">
        <f t="shared" si="92"/>
        <v>267.35158000822167</v>
      </c>
      <c r="AP62">
        <f t="shared" si="93"/>
        <v>56.999999999999993</v>
      </c>
      <c r="AQ62">
        <f t="shared" si="94"/>
        <v>267.35158000822167</v>
      </c>
      <c r="AS62" s="5">
        <f t="shared" si="55"/>
        <v>3.7403930807861605</v>
      </c>
      <c r="AT62" s="5">
        <f t="shared" si="95"/>
        <v>1.8850393700787398</v>
      </c>
      <c r="AU62" s="5">
        <f t="shared" si="56"/>
        <v>1.8553537107074207</v>
      </c>
      <c r="AV62" s="5">
        <f t="shared" si="96"/>
        <v>1.8553537107074209</v>
      </c>
      <c r="AW62" s="153">
        <f t="shared" si="57"/>
        <v>0.50396825396825407</v>
      </c>
      <c r="AX62" s="153">
        <f t="shared" si="97"/>
        <v>1.2666666666666668</v>
      </c>
      <c r="AY62" s="153">
        <f t="shared" si="98"/>
        <v>6.2335958005249333E-2</v>
      </c>
      <c r="AZ62" s="153">
        <f t="shared" si="58"/>
        <v>20.320000000000007</v>
      </c>
      <c r="BA62" s="147">
        <f t="shared" si="99"/>
        <v>5.9640482169430262</v>
      </c>
      <c r="BB62" s="147">
        <f t="shared" si="100"/>
        <v>5.771275307999999</v>
      </c>
      <c r="BC62" s="5">
        <f t="shared" si="101"/>
        <v>0.11750573501146996</v>
      </c>
      <c r="BD62" s="147">
        <f t="shared" si="102"/>
        <v>11.940573501146995</v>
      </c>
      <c r="BE62" s="5"/>
      <c r="BF62" s="153">
        <f t="shared" si="59"/>
        <v>0.10301491877788212</v>
      </c>
      <c r="BG62" s="153">
        <f t="shared" si="103"/>
        <v>0.10220055882059441</v>
      </c>
      <c r="BH62" s="153"/>
      <c r="BI62" s="463">
        <f t="shared" si="104"/>
        <v>3.7142257217847772E-3</v>
      </c>
      <c r="BJ62" s="463">
        <f t="shared" si="105"/>
        <v>1.354666666666667E-2</v>
      </c>
      <c r="BK62" s="463">
        <f t="shared" si="106"/>
        <v>3.3418947501027709E-3</v>
      </c>
      <c r="BL62" s="463">
        <f t="shared" si="107"/>
        <v>2.1731705263157906E-2</v>
      </c>
      <c r="BM62">
        <f t="shared" si="108"/>
        <v>5.7999999999999996E-3</v>
      </c>
      <c r="BN62">
        <f t="shared" si="109"/>
        <v>1.0025684250308313E-5</v>
      </c>
      <c r="BO62" s="463">
        <f t="shared" si="110"/>
        <v>4.8679297246575451E-2</v>
      </c>
      <c r="BP62" s="147">
        <f t="shared" si="60"/>
        <v>48.679297246575452</v>
      </c>
      <c r="BQ62" s="463">
        <f t="shared" si="111"/>
        <v>2.9753945026556716E-2</v>
      </c>
      <c r="BR62" s="463"/>
      <c r="BT62" s="147">
        <f t="shared" si="61"/>
        <v>29.753945026556714</v>
      </c>
      <c r="BU62" s="463">
        <f t="shared" si="112"/>
        <v>8.4896587926509195E-3</v>
      </c>
      <c r="BV62" s="463">
        <f t="shared" si="113"/>
        <v>8.3141835617004545E-3</v>
      </c>
      <c r="BW62" s="463">
        <f t="shared" si="114"/>
        <v>0</v>
      </c>
      <c r="BX62" s="463">
        <f t="shared" si="115"/>
        <v>1.8845637766961802E-2</v>
      </c>
      <c r="BY62" s="463">
        <f t="shared" si="116"/>
        <v>2.5333333333333336E-2</v>
      </c>
      <c r="BZ62" s="147">
        <f t="shared" si="62"/>
        <v>44.178971100295136</v>
      </c>
      <c r="CA62" s="153">
        <f t="shared" si="63"/>
        <v>0.1226122133734273</v>
      </c>
      <c r="CB62" s="5">
        <f t="shared" si="64"/>
        <v>1.1399999999999999</v>
      </c>
      <c r="CC62" s="153">
        <f t="shared" si="65"/>
        <v>0.90289004646499182</v>
      </c>
      <c r="CD62" s="5">
        <f t="shared" si="66"/>
        <v>90.28900464649918</v>
      </c>
      <c r="CG62" s="59">
        <f t="shared" si="117"/>
        <v>-50</v>
      </c>
      <c r="CH62">
        <f t="shared" si="118"/>
        <v>-50</v>
      </c>
    </row>
    <row r="63" spans="5:86" x14ac:dyDescent="0.25">
      <c r="E63" s="150">
        <v>58</v>
      </c>
      <c r="F63" s="191">
        <f t="shared" si="119"/>
        <v>5.7999999999999996E-2</v>
      </c>
      <c r="G63" s="191"/>
      <c r="H63" s="191">
        <f t="shared" si="67"/>
        <v>1.1599999999999999</v>
      </c>
      <c r="I63" s="472">
        <f t="shared" si="68"/>
        <v>20</v>
      </c>
      <c r="J63" s="152">
        <f t="shared" si="69"/>
        <v>20.32</v>
      </c>
      <c r="K63" s="386">
        <f t="shared" si="70"/>
        <v>40.32</v>
      </c>
      <c r="L63" s="386"/>
      <c r="M63" s="191">
        <f t="shared" si="71"/>
        <v>0.50396825396825395</v>
      </c>
      <c r="N63" s="152">
        <f t="shared" si="72"/>
        <v>3.4017857142857144</v>
      </c>
      <c r="O63" s="152">
        <f t="shared" si="53"/>
        <v>1.1599999999999999</v>
      </c>
      <c r="P63" s="191">
        <f t="shared" si="73"/>
        <v>0.17008928571428572</v>
      </c>
      <c r="Q63" s="191">
        <f t="shared" si="74"/>
        <v>20</v>
      </c>
      <c r="R63" s="191">
        <f t="shared" si="75"/>
        <v>0.18898809523809523</v>
      </c>
      <c r="S63" s="152">
        <f t="shared" si="76"/>
        <v>96.445449654083916</v>
      </c>
      <c r="T63" s="152">
        <f t="shared" si="77"/>
        <v>20</v>
      </c>
      <c r="U63" s="191">
        <f t="shared" si="78"/>
        <v>0.25574803149606296</v>
      </c>
      <c r="V63" s="191">
        <f t="shared" si="79"/>
        <v>1.9181102362204718</v>
      </c>
      <c r="W63" s="191">
        <f t="shared" si="80"/>
        <v>1.887903775807551</v>
      </c>
      <c r="X63" s="175">
        <f t="shared" si="81"/>
        <v>350</v>
      </c>
      <c r="Y63" s="386">
        <f t="shared" si="54"/>
        <v>262.74207000807991</v>
      </c>
      <c r="AA63" s="191">
        <f t="shared" si="82"/>
        <v>0.19198790627362058</v>
      </c>
      <c r="AB63" s="153">
        <f t="shared" si="83"/>
        <v>1.4172335600907029</v>
      </c>
      <c r="AC63" s="153">
        <f t="shared" si="84"/>
        <v>4.7616048182941621E-2</v>
      </c>
      <c r="AD63" s="153"/>
      <c r="AE63" s="153">
        <f t="shared" si="85"/>
        <v>1.1072834645669289</v>
      </c>
      <c r="AF63" s="317">
        <f t="shared" si="86"/>
        <v>698.405925925926</v>
      </c>
      <c r="AG63" s="463">
        <f t="shared" si="87"/>
        <v>2.9066190944881887E-2</v>
      </c>
      <c r="AI63" s="153">
        <f t="shared" si="88"/>
        <v>0.22335204849326448</v>
      </c>
      <c r="AJ63" s="153">
        <f t="shared" si="89"/>
        <v>0.25574803149606296</v>
      </c>
      <c r="AK63" s="153">
        <f t="shared" si="90"/>
        <v>1.2704986876640418</v>
      </c>
      <c r="AM63" s="317">
        <f t="shared" si="91"/>
        <v>57.999999999999993</v>
      </c>
      <c r="AN63" s="147">
        <f t="shared" si="92"/>
        <v>262.74207000807991</v>
      </c>
      <c r="AP63">
        <f t="shared" si="93"/>
        <v>57.999999999999993</v>
      </c>
      <c r="AQ63">
        <f t="shared" si="94"/>
        <v>262.74207000807991</v>
      </c>
      <c r="AS63" s="5">
        <f t="shared" si="55"/>
        <v>3.8060140120280233</v>
      </c>
      <c r="AT63" s="5">
        <f t="shared" si="95"/>
        <v>1.9181102362204718</v>
      </c>
      <c r="AU63" s="5">
        <f t="shared" si="56"/>
        <v>1.8879037758075514</v>
      </c>
      <c r="AV63" s="5">
        <f t="shared" si="96"/>
        <v>1.887903775807551</v>
      </c>
      <c r="AW63" s="153">
        <f t="shared" si="57"/>
        <v>0.50396825396825395</v>
      </c>
      <c r="AX63" s="153">
        <f t="shared" si="97"/>
        <v>1.2888888888888888</v>
      </c>
      <c r="AY63" s="153">
        <f t="shared" si="98"/>
        <v>6.3429571303587048E-2</v>
      </c>
      <c r="AZ63" s="153">
        <f t="shared" si="58"/>
        <v>20.32</v>
      </c>
      <c r="BA63" s="147">
        <f t="shared" si="99"/>
        <v>5.9640482169430262</v>
      </c>
      <c r="BB63" s="147">
        <f t="shared" si="100"/>
        <v>5.9724998879999989</v>
      </c>
      <c r="BC63" s="5">
        <f t="shared" si="101"/>
        <v>0.12166490999648664</v>
      </c>
      <c r="BD63" s="147">
        <f t="shared" si="102"/>
        <v>12.359824332981997</v>
      </c>
      <c r="BE63" s="5"/>
      <c r="BF63" s="153">
        <f t="shared" si="59"/>
        <v>0.10482219805468705</v>
      </c>
      <c r="BG63" s="153">
        <f t="shared" si="103"/>
        <v>0.10399355108060485</v>
      </c>
      <c r="BH63" s="153"/>
      <c r="BI63" s="463">
        <f t="shared" si="104"/>
        <v>3.8456926217556131E-3</v>
      </c>
      <c r="BJ63" s="463">
        <f t="shared" si="105"/>
        <v>1.3546666666666667E-2</v>
      </c>
      <c r="BK63" s="463">
        <f t="shared" si="106"/>
        <v>3.2842758751009987E-3</v>
      </c>
      <c r="BL63" s="463">
        <f t="shared" si="107"/>
        <v>2.1357020689655181E-2</v>
      </c>
      <c r="BM63">
        <f t="shared" si="108"/>
        <v>5.7999999999999996E-3</v>
      </c>
      <c r="BN63">
        <f t="shared" si="109"/>
        <v>9.8528276253029969E-6</v>
      </c>
      <c r="BO63" s="463">
        <f t="shared" si="110"/>
        <v>4.8397016333712919E-2</v>
      </c>
      <c r="BP63" s="147">
        <f t="shared" si="60"/>
        <v>48.397016333712919</v>
      </c>
      <c r="BQ63" s="463">
        <f t="shared" si="111"/>
        <v>3.0418399221094738E-2</v>
      </c>
      <c r="BR63" s="463"/>
      <c r="BT63" s="147">
        <f t="shared" si="61"/>
        <v>30.418399221094738</v>
      </c>
      <c r="BU63" s="463">
        <f t="shared" si="112"/>
        <v>8.7901545640128309E-3</v>
      </c>
      <c r="BV63" s="463">
        <f t="shared" si="113"/>
        <v>8.6084682984180778E-3</v>
      </c>
      <c r="BW63" s="463">
        <f t="shared" si="114"/>
        <v>0</v>
      </c>
      <c r="BX63" s="463">
        <f t="shared" si="115"/>
        <v>1.9513618412918439E-2</v>
      </c>
      <c r="BY63" s="463">
        <f t="shared" si="116"/>
        <v>2.5777777777777778E-2</v>
      </c>
      <c r="BZ63" s="147">
        <f t="shared" si="62"/>
        <v>45.291396190696219</v>
      </c>
      <c r="CA63" s="153">
        <f t="shared" si="63"/>
        <v>0.12410681174550388</v>
      </c>
      <c r="CB63" s="5">
        <f t="shared" si="64"/>
        <v>1.1599999999999999</v>
      </c>
      <c r="CC63" s="153">
        <f t="shared" si="65"/>
        <v>0.90335164441904647</v>
      </c>
      <c r="CD63" s="5">
        <f t="shared" si="66"/>
        <v>90.335164441904652</v>
      </c>
      <c r="CG63" s="59">
        <f t="shared" si="117"/>
        <v>-50</v>
      </c>
      <c r="CH63">
        <f t="shared" si="118"/>
        <v>-50</v>
      </c>
    </row>
    <row r="64" spans="5:86" x14ac:dyDescent="0.25">
      <c r="E64" s="150">
        <v>59</v>
      </c>
      <c r="F64" s="191">
        <f t="shared" si="119"/>
        <v>5.8999999999999997E-2</v>
      </c>
      <c r="G64" s="191"/>
      <c r="H64" s="191">
        <f t="shared" si="67"/>
        <v>1.18</v>
      </c>
      <c r="I64" s="472">
        <f t="shared" si="68"/>
        <v>20</v>
      </c>
      <c r="J64" s="152">
        <f t="shared" si="69"/>
        <v>20.32</v>
      </c>
      <c r="K64" s="386">
        <f t="shared" si="70"/>
        <v>40.32</v>
      </c>
      <c r="L64" s="386"/>
      <c r="M64" s="191">
        <f t="shared" si="71"/>
        <v>0.50396825396825395</v>
      </c>
      <c r="N64" s="152">
        <f t="shared" si="72"/>
        <v>3.4017857142857144</v>
      </c>
      <c r="O64" s="152">
        <f t="shared" si="53"/>
        <v>1.18</v>
      </c>
      <c r="P64" s="191">
        <f t="shared" si="73"/>
        <v>0.17008928571428572</v>
      </c>
      <c r="Q64" s="191">
        <f t="shared" si="74"/>
        <v>20</v>
      </c>
      <c r="R64" s="191">
        <f t="shared" si="75"/>
        <v>0.18898809523809523</v>
      </c>
      <c r="S64" s="152">
        <f t="shared" si="76"/>
        <v>94.474294273041664</v>
      </c>
      <c r="T64" s="152">
        <f t="shared" si="77"/>
        <v>20</v>
      </c>
      <c r="U64" s="191">
        <f t="shared" si="78"/>
        <v>0.26015748031496061</v>
      </c>
      <c r="V64" s="191">
        <f t="shared" si="79"/>
        <v>1.9511811023622043</v>
      </c>
      <c r="W64" s="191">
        <f t="shared" si="80"/>
        <v>1.9204538409076812</v>
      </c>
      <c r="X64" s="175">
        <f t="shared" si="81"/>
        <v>350</v>
      </c>
      <c r="Y64" s="386">
        <f t="shared" si="54"/>
        <v>258.28881458421415</v>
      </c>
      <c r="AA64" s="191">
        <f t="shared" si="82"/>
        <v>0.19198790627362058</v>
      </c>
      <c r="AB64" s="153">
        <f t="shared" si="83"/>
        <v>1.4172335600907029</v>
      </c>
      <c r="AC64" s="153">
        <f t="shared" si="84"/>
        <v>4.7616048182941621E-2</v>
      </c>
      <c r="AD64" s="153"/>
      <c r="AE64" s="153">
        <f t="shared" si="85"/>
        <v>1.1072834645669289</v>
      </c>
      <c r="AF64" s="317">
        <f t="shared" si="86"/>
        <v>710.44740740740747</v>
      </c>
      <c r="AG64" s="463">
        <f t="shared" si="87"/>
        <v>2.9066190944881887E-2</v>
      </c>
      <c r="AI64" s="153">
        <f t="shared" si="88"/>
        <v>0.22526926862367044</v>
      </c>
      <c r="AJ64" s="153">
        <f t="shared" si="89"/>
        <v>0.26015748031496061</v>
      </c>
      <c r="AK64" s="153">
        <f t="shared" si="90"/>
        <v>1.2734383202099737</v>
      </c>
      <c r="AM64" s="317">
        <f t="shared" si="91"/>
        <v>59</v>
      </c>
      <c r="AN64" s="147">
        <f t="shared" si="92"/>
        <v>258.28881458421415</v>
      </c>
      <c r="AP64">
        <f t="shared" si="93"/>
        <v>59</v>
      </c>
      <c r="AQ64">
        <f t="shared" si="94"/>
        <v>258.28881458421415</v>
      </c>
      <c r="AS64" s="5">
        <f t="shared" si="55"/>
        <v>3.871634943269886</v>
      </c>
      <c r="AT64" s="5">
        <f t="shared" si="95"/>
        <v>1.9511811023622043</v>
      </c>
      <c r="AU64" s="5">
        <f t="shared" si="56"/>
        <v>1.9204538409076817</v>
      </c>
      <c r="AV64" s="5">
        <f t="shared" si="96"/>
        <v>1.9204538409076812</v>
      </c>
      <c r="AW64" s="153">
        <f t="shared" si="57"/>
        <v>0.50396825396825395</v>
      </c>
      <c r="AX64" s="153">
        <f t="shared" si="97"/>
        <v>1.3111111111111109</v>
      </c>
      <c r="AY64" s="153">
        <f t="shared" si="98"/>
        <v>6.4523184601924757E-2</v>
      </c>
      <c r="AZ64" s="153">
        <f t="shared" si="58"/>
        <v>20.319999999999997</v>
      </c>
      <c r="BA64" s="147">
        <f t="shared" si="99"/>
        <v>5.9640482169430262</v>
      </c>
      <c r="BB64" s="147">
        <f t="shared" si="100"/>
        <v>6.177171851999999</v>
      </c>
      <c r="BC64" s="5">
        <f t="shared" si="101"/>
        <v>0.12589641845950358</v>
      </c>
      <c r="BD64" s="147">
        <f t="shared" si="102"/>
        <v>12.786308512617021</v>
      </c>
      <c r="BE64" s="5"/>
      <c r="BF64" s="153">
        <f t="shared" si="59"/>
        <v>0.106629477331492</v>
      </c>
      <c r="BG64" s="153">
        <f t="shared" si="103"/>
        <v>0.10578654334061527</v>
      </c>
      <c r="BH64" s="153"/>
      <c r="BI64" s="463">
        <f t="shared" si="104"/>
        <v>3.9794459025955077E-3</v>
      </c>
      <c r="BJ64" s="463">
        <f t="shared" si="105"/>
        <v>1.3546666666666667E-2</v>
      </c>
      <c r="BK64" s="463">
        <f t="shared" si="106"/>
        <v>3.2286101823026767E-3</v>
      </c>
      <c r="BL64" s="463">
        <f t="shared" si="107"/>
        <v>2.09950372881356E-2</v>
      </c>
      <c r="BM64">
        <f t="shared" si="108"/>
        <v>5.7999999999999996E-3</v>
      </c>
      <c r="BN64">
        <f t="shared" si="109"/>
        <v>9.6858305469080305E-6</v>
      </c>
      <c r="BO64" s="463">
        <f t="shared" si="110"/>
        <v>4.8132009962751389E-2</v>
      </c>
      <c r="BP64" s="147">
        <f t="shared" si="60"/>
        <v>48.13200996275139</v>
      </c>
      <c r="BQ64" s="463">
        <f t="shared" si="111"/>
        <v>3.1087765662494285E-2</v>
      </c>
      <c r="BR64" s="463"/>
      <c r="BT64" s="147">
        <f t="shared" si="61"/>
        <v>31.087765662494284</v>
      </c>
      <c r="BU64" s="463">
        <f t="shared" si="112"/>
        <v>9.0958763487897342E-3</v>
      </c>
      <c r="BV64" s="463">
        <f t="shared" si="113"/>
        <v>8.9078710305568742E-3</v>
      </c>
      <c r="BW64" s="463">
        <f t="shared" si="114"/>
        <v>0</v>
      </c>
      <c r="BX64" s="463">
        <f t="shared" si="115"/>
        <v>2.0193281443898287E-2</v>
      </c>
      <c r="BY64" s="463">
        <f t="shared" si="116"/>
        <v>2.6222222222222227E-2</v>
      </c>
      <c r="BZ64" s="147">
        <f t="shared" si="62"/>
        <v>46.415503666120514</v>
      </c>
      <c r="CA64" s="153">
        <f t="shared" si="63"/>
        <v>0.1256352792913662</v>
      </c>
      <c r="CB64" s="5">
        <f t="shared" si="64"/>
        <v>1.18</v>
      </c>
      <c r="CC64" s="153">
        <f t="shared" si="65"/>
        <v>0.9037745982480232</v>
      </c>
      <c r="CD64" s="5">
        <f t="shared" si="66"/>
        <v>90.377459824802315</v>
      </c>
      <c r="CG64" s="59">
        <f t="shared" si="117"/>
        <v>-50</v>
      </c>
      <c r="CH64">
        <f t="shared" si="118"/>
        <v>-50</v>
      </c>
    </row>
    <row r="65" spans="5:86" x14ac:dyDescent="0.25">
      <c r="E65" s="150">
        <v>60</v>
      </c>
      <c r="F65" s="191">
        <f t="shared" si="119"/>
        <v>0.06</v>
      </c>
      <c r="G65" s="191"/>
      <c r="H65" s="191">
        <f t="shared" si="67"/>
        <v>1.2</v>
      </c>
      <c r="I65" s="472">
        <f t="shared" si="68"/>
        <v>20</v>
      </c>
      <c r="J65" s="152">
        <f t="shared" si="69"/>
        <v>20.32</v>
      </c>
      <c r="K65" s="386">
        <f t="shared" si="70"/>
        <v>40.32</v>
      </c>
      <c r="L65" s="386"/>
      <c r="M65" s="191">
        <f t="shared" si="71"/>
        <v>0.50396825396825395</v>
      </c>
      <c r="N65" s="152">
        <f t="shared" si="72"/>
        <v>3.4017857142857144</v>
      </c>
      <c r="O65" s="152">
        <f t="shared" si="53"/>
        <v>1.2</v>
      </c>
      <c r="P65" s="191">
        <f t="shared" si="73"/>
        <v>0.17008928571428572</v>
      </c>
      <c r="Q65" s="191">
        <f t="shared" si="74"/>
        <v>20</v>
      </c>
      <c r="R65" s="191">
        <f t="shared" si="75"/>
        <v>0.18898809523809523</v>
      </c>
      <c r="S65" s="152">
        <f t="shared" si="76"/>
        <v>92.568899513650265</v>
      </c>
      <c r="T65" s="152">
        <f t="shared" si="77"/>
        <v>20</v>
      </c>
      <c r="U65" s="191">
        <f t="shared" si="78"/>
        <v>0.26456692913385826</v>
      </c>
      <c r="V65" s="191">
        <f t="shared" si="79"/>
        <v>1.9842519685039368</v>
      </c>
      <c r="W65" s="191">
        <f t="shared" si="80"/>
        <v>1.9530039060078115</v>
      </c>
      <c r="X65" s="175">
        <f t="shared" si="81"/>
        <v>350</v>
      </c>
      <c r="Y65" s="386">
        <f t="shared" si="54"/>
        <v>253.9840010078106</v>
      </c>
      <c r="AA65" s="191">
        <f t="shared" si="82"/>
        <v>0.19198790627362058</v>
      </c>
      <c r="AB65" s="153">
        <f t="shared" si="83"/>
        <v>1.4172335600907029</v>
      </c>
      <c r="AC65" s="153">
        <f t="shared" si="84"/>
        <v>4.7616048182941621E-2</v>
      </c>
      <c r="AD65" s="153"/>
      <c r="AE65" s="153">
        <f t="shared" si="85"/>
        <v>1.1072834645669289</v>
      </c>
      <c r="AF65" s="317">
        <f t="shared" si="86"/>
        <v>722.48888888888882</v>
      </c>
      <c r="AG65" s="463">
        <f t="shared" si="87"/>
        <v>2.9066190944881887E-2</v>
      </c>
      <c r="AI65" s="153">
        <f t="shared" si="88"/>
        <v>0.2271703088133421</v>
      </c>
      <c r="AJ65" s="153">
        <f t="shared" si="89"/>
        <v>0.26456692913385826</v>
      </c>
      <c r="AK65" s="153">
        <f t="shared" si="90"/>
        <v>1.2763779527559054</v>
      </c>
      <c r="AM65" s="317">
        <f t="shared" si="91"/>
        <v>60</v>
      </c>
      <c r="AN65" s="147">
        <f t="shared" si="92"/>
        <v>253.9840010078106</v>
      </c>
      <c r="AP65">
        <f t="shared" si="93"/>
        <v>60</v>
      </c>
      <c r="AQ65">
        <f t="shared" si="94"/>
        <v>253.9840010078106</v>
      </c>
      <c r="AS65" s="5">
        <f t="shared" si="55"/>
        <v>3.9372558745117474</v>
      </c>
      <c r="AT65" s="5">
        <f t="shared" si="95"/>
        <v>1.9842519685039368</v>
      </c>
      <c r="AU65" s="5">
        <f t="shared" si="56"/>
        <v>1.9530039060078106</v>
      </c>
      <c r="AV65" s="5">
        <f t="shared" si="96"/>
        <v>1.9530039060078115</v>
      </c>
      <c r="AW65" s="153">
        <f t="shared" si="57"/>
        <v>0.50396825396825418</v>
      </c>
      <c r="AX65" s="153">
        <f t="shared" si="97"/>
        <v>1.3333333333333337</v>
      </c>
      <c r="AY65" s="153">
        <f t="shared" si="98"/>
        <v>6.5616797900262439E-2</v>
      </c>
      <c r="AZ65" s="153">
        <f t="shared" si="58"/>
        <v>20.320000000000014</v>
      </c>
      <c r="BA65" s="147">
        <f t="shared" si="99"/>
        <v>5.9640482169430262</v>
      </c>
      <c r="BB65" s="147">
        <f t="shared" si="100"/>
        <v>6.3852911999999975</v>
      </c>
      <c r="BC65" s="5">
        <f t="shared" si="101"/>
        <v>0.13020026040052071</v>
      </c>
      <c r="BD65" s="147">
        <f t="shared" si="102"/>
        <v>13.220026040052073</v>
      </c>
      <c r="BE65" s="5"/>
      <c r="BF65" s="153">
        <f t="shared" si="59"/>
        <v>0.10843675660829698</v>
      </c>
      <c r="BG65" s="153">
        <f t="shared" si="103"/>
        <v>0.10757953560062568</v>
      </c>
      <c r="BH65" s="153"/>
      <c r="BI65" s="463">
        <f t="shared" si="104"/>
        <v>4.1154855643044629E-3</v>
      </c>
      <c r="BJ65" s="463">
        <f t="shared" si="105"/>
        <v>1.3546666666666672E-2</v>
      </c>
      <c r="BK65" s="463">
        <f t="shared" si="106"/>
        <v>3.1748000125976323E-3</v>
      </c>
      <c r="BL65" s="463">
        <f t="shared" si="107"/>
        <v>2.0645120000000006E-2</v>
      </c>
      <c r="BM65">
        <f t="shared" si="108"/>
        <v>5.7999999999999996E-3</v>
      </c>
      <c r="BN65">
        <f t="shared" si="109"/>
        <v>9.5244000377928972E-6</v>
      </c>
      <c r="BO65" s="463">
        <f t="shared" si="110"/>
        <v>4.7883545510225799E-2</v>
      </c>
      <c r="BP65" s="147">
        <f t="shared" si="60"/>
        <v>47.883545510225801</v>
      </c>
      <c r="BQ65" s="463">
        <f t="shared" si="111"/>
        <v>3.1762044350755365E-2</v>
      </c>
      <c r="BR65" s="463"/>
      <c r="BT65" s="147">
        <f t="shared" si="61"/>
        <v>31.762044350755364</v>
      </c>
      <c r="BU65" s="463">
        <f t="shared" si="112"/>
        <v>9.4068241469816311E-3</v>
      </c>
      <c r="BV65" s="463">
        <f t="shared" si="113"/>
        <v>9.2123917581168457E-3</v>
      </c>
      <c r="BW65" s="463">
        <f t="shared" si="114"/>
        <v>0</v>
      </c>
      <c r="BX65" s="463">
        <f t="shared" si="115"/>
        <v>2.0884630248886468E-2</v>
      </c>
      <c r="BY65" s="463">
        <f t="shared" si="116"/>
        <v>2.6666666666666675E-2</v>
      </c>
      <c r="BZ65" s="147">
        <f t="shared" si="62"/>
        <v>47.551296915553138</v>
      </c>
      <c r="CA65" s="153">
        <f t="shared" si="63"/>
        <v>0.12719688677653432</v>
      </c>
      <c r="CB65" s="5">
        <f t="shared" si="64"/>
        <v>1.2</v>
      </c>
      <c r="CC65" s="153">
        <f t="shared" si="65"/>
        <v>0.90416125290538674</v>
      </c>
      <c r="CD65" s="5">
        <f t="shared" si="66"/>
        <v>90.416125290538673</v>
      </c>
      <c r="CG65" s="59">
        <f t="shared" si="117"/>
        <v>-50</v>
      </c>
      <c r="CH65">
        <f t="shared" si="118"/>
        <v>-50</v>
      </c>
    </row>
    <row r="66" spans="5:86" x14ac:dyDescent="0.25">
      <c r="E66" s="150">
        <v>61</v>
      </c>
      <c r="F66" s="191">
        <f t="shared" si="119"/>
        <v>6.0999999999999999E-2</v>
      </c>
      <c r="G66" s="191"/>
      <c r="H66" s="191">
        <f t="shared" si="67"/>
        <v>1.22</v>
      </c>
      <c r="I66" s="472">
        <f t="shared" si="68"/>
        <v>20</v>
      </c>
      <c r="J66" s="152">
        <f t="shared" si="69"/>
        <v>20.32</v>
      </c>
      <c r="K66" s="386">
        <f t="shared" si="70"/>
        <v>40.32</v>
      </c>
      <c r="L66" s="386"/>
      <c r="M66" s="191">
        <f t="shared" si="71"/>
        <v>0.50396825396825395</v>
      </c>
      <c r="N66" s="152">
        <f t="shared" si="72"/>
        <v>3.4017857142857144</v>
      </c>
      <c r="O66" s="152">
        <f t="shared" si="53"/>
        <v>1.22</v>
      </c>
      <c r="P66" s="191">
        <f t="shared" si="73"/>
        <v>0.17008928571428572</v>
      </c>
      <c r="Q66" s="191">
        <f t="shared" si="74"/>
        <v>20</v>
      </c>
      <c r="R66" s="191">
        <f t="shared" si="75"/>
        <v>0.18898809523809523</v>
      </c>
      <c r="S66" s="152">
        <f t="shared" si="76"/>
        <v>90.726031817382363</v>
      </c>
      <c r="T66" s="152">
        <f t="shared" si="77"/>
        <v>20</v>
      </c>
      <c r="U66" s="191">
        <f t="shared" si="78"/>
        <v>0.26897637795275592</v>
      </c>
      <c r="V66" s="191">
        <f t="shared" si="79"/>
        <v>2.0173228346456691</v>
      </c>
      <c r="W66" s="191">
        <f t="shared" si="80"/>
        <v>1.9855539711079422</v>
      </c>
      <c r="X66" s="175">
        <f t="shared" si="81"/>
        <v>350</v>
      </c>
      <c r="Y66" s="386">
        <f t="shared" si="54"/>
        <v>249.82032886014153</v>
      </c>
      <c r="AA66" s="191">
        <f t="shared" si="82"/>
        <v>0.19198790627362058</v>
      </c>
      <c r="AB66" s="153">
        <f t="shared" si="83"/>
        <v>1.4172335600907029</v>
      </c>
      <c r="AC66" s="153">
        <f t="shared" si="84"/>
        <v>4.7616048182941621E-2</v>
      </c>
      <c r="AD66" s="153"/>
      <c r="AE66" s="153">
        <f t="shared" si="85"/>
        <v>1.1072834645669289</v>
      </c>
      <c r="AF66" s="317">
        <f t="shared" si="86"/>
        <v>734.53037037037041</v>
      </c>
      <c r="AG66" s="463">
        <f t="shared" si="87"/>
        <v>2.9066190944881887E-2</v>
      </c>
      <c r="AI66" s="153">
        <f t="shared" si="88"/>
        <v>0.22905557191750439</v>
      </c>
      <c r="AJ66" s="153">
        <f t="shared" si="89"/>
        <v>0.26897637795275592</v>
      </c>
      <c r="AK66" s="153">
        <f t="shared" si="90"/>
        <v>1.2793175853018373</v>
      </c>
      <c r="AM66" s="317">
        <f t="shared" si="91"/>
        <v>61</v>
      </c>
      <c r="AN66" s="147">
        <f t="shared" si="92"/>
        <v>249.82032886014153</v>
      </c>
      <c r="AP66">
        <f t="shared" si="93"/>
        <v>61</v>
      </c>
      <c r="AQ66">
        <f t="shared" si="94"/>
        <v>249.82032886014153</v>
      </c>
      <c r="AS66" s="5">
        <f t="shared" si="55"/>
        <v>4.002876805753611</v>
      </c>
      <c r="AT66" s="5">
        <f t="shared" si="95"/>
        <v>2.0173228346456691</v>
      </c>
      <c r="AU66" s="5">
        <f t="shared" si="56"/>
        <v>1.985553971107942</v>
      </c>
      <c r="AV66" s="5">
        <f t="shared" si="96"/>
        <v>1.9855539711079422</v>
      </c>
      <c r="AW66" s="153">
        <f t="shared" si="57"/>
        <v>0.50396825396825395</v>
      </c>
      <c r="AX66" s="153">
        <f t="shared" si="97"/>
        <v>1.3555555555555556</v>
      </c>
      <c r="AY66" s="153">
        <f t="shared" si="98"/>
        <v>6.6710411198600175E-2</v>
      </c>
      <c r="AZ66" s="153">
        <f t="shared" si="58"/>
        <v>20.32</v>
      </c>
      <c r="BA66" s="147">
        <f t="shared" si="99"/>
        <v>5.9640482169430262</v>
      </c>
      <c r="BB66" s="147">
        <f t="shared" si="100"/>
        <v>6.5968579319999989</v>
      </c>
      <c r="BC66" s="5">
        <f t="shared" si="101"/>
        <v>0.13457643581953826</v>
      </c>
      <c r="BD66" s="147">
        <f t="shared" si="102"/>
        <v>13.66097691528716</v>
      </c>
      <c r="BE66" s="5"/>
      <c r="BF66" s="153">
        <f t="shared" si="59"/>
        <v>0.11024403588510191</v>
      </c>
      <c r="BG66" s="153">
        <f t="shared" si="103"/>
        <v>0.10937252786063614</v>
      </c>
      <c r="BH66" s="153"/>
      <c r="BI66" s="463">
        <f t="shared" si="104"/>
        <v>4.2538116068824737E-3</v>
      </c>
      <c r="BJ66" s="463">
        <f t="shared" si="105"/>
        <v>1.3546666666666667E-2</v>
      </c>
      <c r="BK66" s="463">
        <f t="shared" si="106"/>
        <v>3.122754110751769E-3</v>
      </c>
      <c r="BL66" s="463">
        <f t="shared" si="107"/>
        <v>2.0306675409836071E-2</v>
      </c>
      <c r="BM66">
        <f t="shared" si="108"/>
        <v>5.7999999999999996E-3</v>
      </c>
      <c r="BN66">
        <f t="shared" si="109"/>
        <v>9.3682623322553066E-6</v>
      </c>
      <c r="BO66" s="463">
        <f t="shared" si="110"/>
        <v>4.7650938425607331E-2</v>
      </c>
      <c r="BP66" s="147">
        <f t="shared" si="60"/>
        <v>47.650938425607329</v>
      </c>
      <c r="BQ66" s="463">
        <f t="shared" si="111"/>
        <v>3.244123528587798E-2</v>
      </c>
      <c r="BR66" s="463"/>
      <c r="BT66" s="147">
        <f t="shared" si="61"/>
        <v>32.44123528587798</v>
      </c>
      <c r="BU66" s="463">
        <f t="shared" si="112"/>
        <v>9.7229979585885112E-3</v>
      </c>
      <c r="BV66" s="463">
        <f t="shared" si="113"/>
        <v>9.5220304810980008E-3</v>
      </c>
      <c r="BW66" s="463">
        <f t="shared" si="114"/>
        <v>0</v>
      </c>
      <c r="BX66" s="463">
        <f t="shared" si="115"/>
        <v>2.1587668275641798E-2</v>
      </c>
      <c r="BY66" s="463">
        <f t="shared" si="116"/>
        <v>2.7111111111111117E-2</v>
      </c>
      <c r="BZ66" s="147">
        <f t="shared" si="62"/>
        <v>48.698779386752918</v>
      </c>
      <c r="CA66" s="153">
        <f t="shared" si="63"/>
        <v>0.12879095309823821</v>
      </c>
      <c r="CB66" s="5">
        <f t="shared" si="64"/>
        <v>1.22</v>
      </c>
      <c r="CC66" s="153">
        <f t="shared" si="65"/>
        <v>0.90451377746684969</v>
      </c>
      <c r="CD66" s="5">
        <f t="shared" si="66"/>
        <v>90.451377746684969</v>
      </c>
      <c r="CG66" s="59">
        <f t="shared" si="117"/>
        <v>-50</v>
      </c>
      <c r="CH66">
        <f t="shared" si="118"/>
        <v>-50</v>
      </c>
    </row>
    <row r="67" spans="5:86" x14ac:dyDescent="0.25">
      <c r="E67" s="150">
        <v>62</v>
      </c>
      <c r="F67" s="191">
        <f t="shared" si="119"/>
        <v>6.2E-2</v>
      </c>
      <c r="G67" s="191"/>
      <c r="H67" s="191">
        <f t="shared" si="67"/>
        <v>1.24</v>
      </c>
      <c r="I67" s="472">
        <f t="shared" si="68"/>
        <v>20</v>
      </c>
      <c r="J67" s="152">
        <f t="shared" si="69"/>
        <v>20.32</v>
      </c>
      <c r="K67" s="386">
        <f t="shared" si="70"/>
        <v>40.32</v>
      </c>
      <c r="L67" s="386"/>
      <c r="M67" s="191">
        <f t="shared" si="71"/>
        <v>0.50396825396825395</v>
      </c>
      <c r="N67" s="152">
        <f t="shared" si="72"/>
        <v>3.4017857142857144</v>
      </c>
      <c r="O67" s="152">
        <f t="shared" si="53"/>
        <v>1.24</v>
      </c>
      <c r="P67" s="191">
        <f t="shared" si="73"/>
        <v>0.17008928571428572</v>
      </c>
      <c r="Q67" s="191">
        <f t="shared" si="74"/>
        <v>20</v>
      </c>
      <c r="R67" s="191">
        <f t="shared" si="75"/>
        <v>0.18898809523809523</v>
      </c>
      <c r="S67" s="152">
        <f t="shared" si="76"/>
        <v>88.942666250044937</v>
      </c>
      <c r="T67" s="152">
        <f t="shared" si="77"/>
        <v>20</v>
      </c>
      <c r="U67" s="191">
        <f t="shared" si="78"/>
        <v>0.27338582677165357</v>
      </c>
      <c r="V67" s="191">
        <f t="shared" si="79"/>
        <v>2.0503937007874011</v>
      </c>
      <c r="W67" s="191">
        <f t="shared" si="80"/>
        <v>2.0181040362080722</v>
      </c>
      <c r="X67" s="175">
        <f t="shared" si="81"/>
        <v>350</v>
      </c>
      <c r="Y67" s="386">
        <f t="shared" si="54"/>
        <v>245.79096871723604</v>
      </c>
      <c r="AA67" s="191">
        <f t="shared" si="82"/>
        <v>0.19198790627362058</v>
      </c>
      <c r="AB67" s="153">
        <f t="shared" si="83"/>
        <v>1.4172335600907029</v>
      </c>
      <c r="AC67" s="153">
        <f t="shared" si="84"/>
        <v>4.7616048182941621E-2</v>
      </c>
      <c r="AD67" s="153"/>
      <c r="AE67" s="153">
        <f t="shared" si="85"/>
        <v>1.1072834645669289</v>
      </c>
      <c r="AF67" s="317">
        <f t="shared" si="86"/>
        <v>746.57185185185187</v>
      </c>
      <c r="AG67" s="463">
        <f t="shared" si="87"/>
        <v>2.9066190944881887E-2</v>
      </c>
      <c r="AI67" s="153">
        <f t="shared" si="88"/>
        <v>0.23092544434635359</v>
      </c>
      <c r="AJ67" s="153">
        <f t="shared" si="89"/>
        <v>0.27338582677165357</v>
      </c>
      <c r="AK67" s="153">
        <f t="shared" si="90"/>
        <v>1.2822572178477691</v>
      </c>
      <c r="AM67" s="317">
        <f t="shared" si="91"/>
        <v>62</v>
      </c>
      <c r="AN67" s="147">
        <f t="shared" si="92"/>
        <v>245.79096871723604</v>
      </c>
      <c r="AP67">
        <f t="shared" si="93"/>
        <v>62</v>
      </c>
      <c r="AQ67">
        <f t="shared" si="94"/>
        <v>245.79096871723604</v>
      </c>
      <c r="AS67" s="5">
        <f t="shared" si="55"/>
        <v>4.0684977369954733</v>
      </c>
      <c r="AT67" s="5">
        <f t="shared" si="95"/>
        <v>2.0503937007874011</v>
      </c>
      <c r="AU67" s="5">
        <f t="shared" si="56"/>
        <v>2.0181040362080722</v>
      </c>
      <c r="AV67" s="5">
        <f t="shared" si="96"/>
        <v>2.0181040362080722</v>
      </c>
      <c r="AW67" s="153">
        <f t="shared" si="57"/>
        <v>0.50396825396825395</v>
      </c>
      <c r="AX67" s="153">
        <f t="shared" si="97"/>
        <v>1.3777777777777784</v>
      </c>
      <c r="AY67" s="153">
        <f t="shared" si="98"/>
        <v>6.7804024496937898E-2</v>
      </c>
      <c r="AZ67" s="153">
        <f t="shared" si="58"/>
        <v>20.320000000000004</v>
      </c>
      <c r="BA67" s="147">
        <f t="shared" si="99"/>
        <v>5.9640482169430262</v>
      </c>
      <c r="BB67" s="147">
        <f t="shared" si="100"/>
        <v>6.8118720479999988</v>
      </c>
      <c r="BC67" s="5">
        <f t="shared" si="101"/>
        <v>0.13902494471655608</v>
      </c>
      <c r="BD67" s="147">
        <f t="shared" si="102"/>
        <v>14.109161138322277</v>
      </c>
      <c r="BE67" s="5"/>
      <c r="BF67" s="153">
        <f t="shared" si="59"/>
        <v>0.11205131516190688</v>
      </c>
      <c r="BG67" s="153">
        <f t="shared" si="103"/>
        <v>0.11116552012064658</v>
      </c>
      <c r="BH67" s="153"/>
      <c r="BI67" s="463">
        <f t="shared" si="104"/>
        <v>4.3944240303295436E-3</v>
      </c>
      <c r="BJ67" s="463">
        <f t="shared" si="105"/>
        <v>1.3546666666666672E-2</v>
      </c>
      <c r="BK67" s="463">
        <f t="shared" si="106"/>
        <v>3.0723871089654506E-3</v>
      </c>
      <c r="BL67" s="463">
        <f t="shared" si="107"/>
        <v>1.9979148387096784E-2</v>
      </c>
      <c r="BM67">
        <f t="shared" si="108"/>
        <v>5.7999999999999996E-3</v>
      </c>
      <c r="BN67">
        <f t="shared" si="109"/>
        <v>9.2171613268963507E-6</v>
      </c>
      <c r="BO67" s="463">
        <f t="shared" si="110"/>
        <v>4.7433548354993443E-2</v>
      </c>
      <c r="BP67" s="147">
        <f t="shared" si="60"/>
        <v>47.433548354993441</v>
      </c>
      <c r="BQ67" s="463">
        <f t="shared" si="111"/>
        <v>3.3125338467862128E-2</v>
      </c>
      <c r="BR67" s="463"/>
      <c r="BT67" s="147">
        <f t="shared" si="61"/>
        <v>33.125338467862129</v>
      </c>
      <c r="BU67" s="463">
        <f t="shared" si="112"/>
        <v>1.0044397783610387E-2</v>
      </c>
      <c r="BV67" s="463">
        <f t="shared" si="113"/>
        <v>9.8367871995003291E-3</v>
      </c>
      <c r="BW67" s="463">
        <f t="shared" si="114"/>
        <v>0</v>
      </c>
      <c r="BX67" s="463">
        <f t="shared" si="115"/>
        <v>2.2302399030739783E-2</v>
      </c>
      <c r="BY67" s="463">
        <f t="shared" si="116"/>
        <v>2.7555555555555569E-2</v>
      </c>
      <c r="BZ67" s="147">
        <f t="shared" si="62"/>
        <v>49.857954586295357</v>
      </c>
      <c r="CA67" s="153">
        <f t="shared" si="63"/>
        <v>0.13041684140915094</v>
      </c>
      <c r="CB67" s="5">
        <f t="shared" si="64"/>
        <v>1.24</v>
      </c>
      <c r="CC67" s="153">
        <f t="shared" si="65"/>
        <v>0.90483418076280508</v>
      </c>
      <c r="CD67" s="5">
        <f t="shared" si="66"/>
        <v>90.483418076280515</v>
      </c>
      <c r="CG67" s="59">
        <f t="shared" si="117"/>
        <v>-50</v>
      </c>
      <c r="CH67">
        <f t="shared" si="118"/>
        <v>-50</v>
      </c>
    </row>
    <row r="68" spans="5:86" x14ac:dyDescent="0.25">
      <c r="E68" s="150">
        <v>63</v>
      </c>
      <c r="F68" s="191">
        <f t="shared" si="119"/>
        <v>6.3E-2</v>
      </c>
      <c r="G68" s="191"/>
      <c r="H68" s="191">
        <f t="shared" si="67"/>
        <v>1.26</v>
      </c>
      <c r="I68" s="472">
        <f t="shared" si="68"/>
        <v>20</v>
      </c>
      <c r="J68" s="152">
        <f t="shared" si="69"/>
        <v>20.32</v>
      </c>
      <c r="K68" s="386">
        <f t="shared" si="70"/>
        <v>40.32</v>
      </c>
      <c r="L68" s="386"/>
      <c r="M68" s="191">
        <f t="shared" si="71"/>
        <v>0.50396825396825395</v>
      </c>
      <c r="N68" s="152">
        <f t="shared" si="72"/>
        <v>3.4017857142857144</v>
      </c>
      <c r="O68" s="152">
        <f t="shared" si="53"/>
        <v>1.26</v>
      </c>
      <c r="P68" s="191">
        <f t="shared" si="73"/>
        <v>0.17008928571428572</v>
      </c>
      <c r="Q68" s="191">
        <f t="shared" si="74"/>
        <v>20</v>
      </c>
      <c r="R68" s="191">
        <f t="shared" si="75"/>
        <v>0.18898809523809523</v>
      </c>
      <c r="S68" s="152">
        <f t="shared" si="76"/>
        <v>87.215969944418205</v>
      </c>
      <c r="T68" s="152">
        <f t="shared" si="77"/>
        <v>20</v>
      </c>
      <c r="U68" s="191">
        <f t="shared" si="78"/>
        <v>0.27779527559055117</v>
      </c>
      <c r="V68" s="191">
        <f t="shared" si="79"/>
        <v>2.0834645669291332</v>
      </c>
      <c r="W68" s="191">
        <f t="shared" si="80"/>
        <v>2.050654101308202</v>
      </c>
      <c r="X68" s="175">
        <f t="shared" si="81"/>
        <v>350</v>
      </c>
      <c r="Y68" s="386">
        <f t="shared" si="54"/>
        <v>241.88952476934347</v>
      </c>
      <c r="AA68" s="191">
        <f t="shared" si="82"/>
        <v>0.19198790627362058</v>
      </c>
      <c r="AB68" s="153">
        <f t="shared" si="83"/>
        <v>1.4172335600907029</v>
      </c>
      <c r="AC68" s="153">
        <f t="shared" si="84"/>
        <v>4.7616048182941621E-2</v>
      </c>
      <c r="AD68" s="153"/>
      <c r="AE68" s="153">
        <f t="shared" si="85"/>
        <v>1.1072834645669289</v>
      </c>
      <c r="AF68" s="317">
        <f t="shared" si="86"/>
        <v>758.61333333333334</v>
      </c>
      <c r="AG68" s="463">
        <f t="shared" si="87"/>
        <v>2.9066190944881887E-2</v>
      </c>
      <c r="AI68" s="153">
        <f t="shared" si="88"/>
        <v>0.23278029698981542</v>
      </c>
      <c r="AJ68" s="153">
        <f t="shared" si="89"/>
        <v>0.27779527559055117</v>
      </c>
      <c r="AK68" s="153">
        <f t="shared" si="90"/>
        <v>1.2851968503937008</v>
      </c>
      <c r="AM68" s="317">
        <f t="shared" si="91"/>
        <v>63</v>
      </c>
      <c r="AN68" s="147">
        <f t="shared" si="92"/>
        <v>241.88952476934347</v>
      </c>
      <c r="AP68">
        <f t="shared" si="93"/>
        <v>63</v>
      </c>
      <c r="AQ68">
        <f t="shared" si="94"/>
        <v>241.88952476934347</v>
      </c>
      <c r="AS68" s="5">
        <f t="shared" si="55"/>
        <v>4.1341186682373348</v>
      </c>
      <c r="AT68" s="5">
        <f t="shared" si="95"/>
        <v>2.0834645669291332</v>
      </c>
      <c r="AU68" s="5">
        <f t="shared" si="56"/>
        <v>2.0506541013082016</v>
      </c>
      <c r="AV68" s="5">
        <f t="shared" si="96"/>
        <v>2.050654101308202</v>
      </c>
      <c r="AW68" s="153">
        <f t="shared" si="57"/>
        <v>0.50396825396825407</v>
      </c>
      <c r="AX68" s="153">
        <f t="shared" si="97"/>
        <v>1.4000000000000006</v>
      </c>
      <c r="AY68" s="153">
        <f t="shared" si="98"/>
        <v>6.8897637795275579E-2</v>
      </c>
      <c r="AZ68" s="153">
        <f t="shared" si="58"/>
        <v>20.320000000000011</v>
      </c>
      <c r="BA68" s="147">
        <f t="shared" si="99"/>
        <v>5.9640482169430262</v>
      </c>
      <c r="BB68" s="147">
        <f t="shared" si="100"/>
        <v>7.0303335479999989</v>
      </c>
      <c r="BC68" s="5">
        <f t="shared" si="101"/>
        <v>0.14354578709157409</v>
      </c>
      <c r="BD68" s="147">
        <f t="shared" si="102"/>
        <v>14.564578709157409</v>
      </c>
      <c r="BE68" s="5"/>
      <c r="BF68" s="153">
        <f t="shared" si="59"/>
        <v>0.11385859443871181</v>
      </c>
      <c r="BG68" s="153">
        <f t="shared" si="103"/>
        <v>0.11295851238065698</v>
      </c>
      <c r="BH68" s="153"/>
      <c r="BI68" s="463">
        <f t="shared" si="104"/>
        <v>4.5373228346456693E-3</v>
      </c>
      <c r="BJ68" s="463">
        <f t="shared" si="105"/>
        <v>1.3546666666666672E-2</v>
      </c>
      <c r="BK68" s="463">
        <f t="shared" si="106"/>
        <v>3.0236190596167932E-3</v>
      </c>
      <c r="BL68" s="463">
        <f t="shared" si="107"/>
        <v>1.9662019047619057E-2</v>
      </c>
      <c r="BM68">
        <f t="shared" si="108"/>
        <v>5.7999999999999996E-3</v>
      </c>
      <c r="BN68">
        <f t="shared" si="109"/>
        <v>9.0708571788503789E-6</v>
      </c>
      <c r="BO68" s="463">
        <f t="shared" si="110"/>
        <v>4.7230775633970483E-2</v>
      </c>
      <c r="BP68" s="147">
        <f t="shared" si="60"/>
        <v>47.230775633970481</v>
      </c>
      <c r="BQ68" s="463">
        <f t="shared" si="111"/>
        <v>3.3814353896707797E-2</v>
      </c>
      <c r="BR68" s="463"/>
      <c r="BT68" s="147">
        <f t="shared" si="61"/>
        <v>33.8143538967078</v>
      </c>
      <c r="BU68" s="463">
        <f t="shared" si="112"/>
        <v>1.0371023622047245E-2</v>
      </c>
      <c r="BV68" s="463">
        <f t="shared" si="113"/>
        <v>1.0156661913323824E-2</v>
      </c>
      <c r="BW68" s="463">
        <f t="shared" si="114"/>
        <v>0</v>
      </c>
      <c r="BX68" s="463">
        <f t="shared" si="115"/>
        <v>2.3028826079616489E-2</v>
      </c>
      <c r="BY68" s="463">
        <f t="shared" si="116"/>
        <v>2.8000000000000014E-2</v>
      </c>
      <c r="BZ68" s="147">
        <f t="shared" si="62"/>
        <v>51.028826079616508</v>
      </c>
      <c r="CA68" s="153">
        <f t="shared" si="63"/>
        <v>0.13207395561029478</v>
      </c>
      <c r="CB68" s="5">
        <f t="shared" si="64"/>
        <v>1.26</v>
      </c>
      <c r="CC68" s="153">
        <f t="shared" si="65"/>
        <v>0.90512432541531695</v>
      </c>
      <c r="CD68" s="5">
        <f t="shared" si="66"/>
        <v>90.512432541531695</v>
      </c>
      <c r="CG68" s="59">
        <f t="shared" si="117"/>
        <v>-50</v>
      </c>
      <c r="CH68">
        <f t="shared" si="118"/>
        <v>-50</v>
      </c>
    </row>
    <row r="69" spans="5:86" x14ac:dyDescent="0.25">
      <c r="E69" s="150">
        <v>64</v>
      </c>
      <c r="F69" s="191">
        <f t="shared" si="119"/>
        <v>6.4000000000000001E-2</v>
      </c>
      <c r="G69" s="191"/>
      <c r="H69" s="191">
        <f t="shared" ref="H69:H100" si="120">F69*Vout</f>
        <v>1.28</v>
      </c>
      <c r="I69" s="472">
        <f t="shared" ref="I69:I105" si="121">Vin</f>
        <v>20</v>
      </c>
      <c r="J69" s="152">
        <f t="shared" ref="J69:J105" si="122">(T69+Vfwd1)*Nps</f>
        <v>20.32</v>
      </c>
      <c r="K69" s="386">
        <f t="shared" ref="K69:K105" si="123">(Vout+Vfwd1)*Nps+I69</f>
        <v>40.32</v>
      </c>
      <c r="L69" s="386"/>
      <c r="M69" s="191">
        <f t="shared" ref="M69:M105" si="124">(Vout+Vfwd1)*Nps/((Vout+Vfwd1)*Nps+I69)</f>
        <v>0.50396825396825395</v>
      </c>
      <c r="N69" s="152">
        <f t="shared" ref="N69:N100" si="125">M69*I69*Isw_max*0.5*Efficiency</f>
        <v>3.4017857142857144</v>
      </c>
      <c r="O69" s="152">
        <f t="shared" si="53"/>
        <v>1.28</v>
      </c>
      <c r="P69" s="191">
        <f t="shared" ref="P69:P100" si="126">N69/Vout</f>
        <v>0.17008928571428572</v>
      </c>
      <c r="Q69" s="191">
        <f t="shared" ref="Q69:Q105" si="127">MIN(Vout,N69/F69)</f>
        <v>20</v>
      </c>
      <c r="R69" s="191">
        <f t="shared" ref="R69:R100" si="128">Isw_max/2*I69*Nps*(Q69+Vfwd1)/Q69/(I69+Nps*(Q69+Vfwd1))</f>
        <v>0.18898809523809523</v>
      </c>
      <c r="S69" s="152">
        <f t="shared" ref="S69:S105" si="129">(SQRT(Isw_max^2*Nps^2*I69^2+4*Isw_max*F69/Efficiency*(Nps^2*Vfwd1*I69-Nps*I69^2)+4*(F69/Efficiency)^2*Nps^2*Vfwd1^2+8*(F69/Efficiency)^2*Nps*Vfwd1*I69+4*(F69/Efficiency)^2*I69^2)-2*F69/Efficiency*I69-2*F69/Efficiency*Nps*Vfwd1+Isw_max*Nps*I69)/(4*F69/Efficiency*Nps)</f>
        <v>85.543287095148784</v>
      </c>
      <c r="T69" s="152">
        <f t="shared" ref="T69:T100" si="130">MIN(Vout, S69)</f>
        <v>20</v>
      </c>
      <c r="U69" s="191">
        <f t="shared" ref="U69:U105" si="131">MIN(2*Vout*F69/(Efficiency*I69*M69), Isw_max)</f>
        <v>0.28220472440944883</v>
      </c>
      <c r="V69" s="191">
        <f t="shared" ref="V69:V100" si="132">L*U69/I69*1000000</f>
        <v>2.1165354330708657</v>
      </c>
      <c r="W69" s="191">
        <f t="shared" ref="W69:W105" si="133">L*U69/J69*1000000</f>
        <v>2.0832041664083323</v>
      </c>
      <c r="X69" s="175">
        <f t="shared" ref="X69:X105" si="134">IF(1/((350000*L)*(1/I69+1/J69))&gt;Isw_min, 350, 0.001/((Isw_min*L)*(1/I69+1/J69)))</f>
        <v>350</v>
      </c>
      <c r="Y69" s="386">
        <f t="shared" si="54"/>
        <v>238.11000094482242</v>
      </c>
      <c r="AA69" s="191">
        <f t="shared" ref="AA69:AA105" si="135">1/((X69*1000*L)*(1/I69+1/J69))</f>
        <v>0.19198790627362058</v>
      </c>
      <c r="AB69" s="153">
        <f t="shared" ref="AB69:AB100" si="136">L*AA69/J69*1000000</f>
        <v>1.4172335600907029</v>
      </c>
      <c r="AC69" s="153">
        <f t="shared" ref="AC69:AC100" si="137">0.5*AB69*AA69*Nps*X69/1000</f>
        <v>4.7616048182941621E-2</v>
      </c>
      <c r="AD69" s="153"/>
      <c r="AE69" s="153">
        <f t="shared" ref="AE69:AE105" si="138">L*Isw_min/J69*1000000</f>
        <v>1.1072834645669289</v>
      </c>
      <c r="AF69" s="317">
        <f t="shared" ref="AF69:AF100" si="139">MAX(12, F69/(0.5*AE69/1000000*Isw_min*Nps)/1000)</f>
        <v>770.65481481481481</v>
      </c>
      <c r="AG69" s="463">
        <f t="shared" ref="AG69:AG105" si="140">0.5*AE69/1000000*Isw_min*Nps*X69*1000</f>
        <v>2.9066190944881887E-2</v>
      </c>
      <c r="AI69" s="153">
        <f t="shared" ref="AI69:AI105" si="141">SQRT(F69/Efficiency/(0.5*L/J69*Fsw_DCM*Nps))</f>
        <v>0.23462048607649866</v>
      </c>
      <c r="AJ69" s="153">
        <f t="shared" ref="AJ69:AJ100" si="142">MAX(IF(F69&gt;AC69,U69,AI69),Isw_min)</f>
        <v>0.28220472440944883</v>
      </c>
      <c r="AK69" s="153">
        <f t="shared" ref="AK69:AK100" si="143">IF(F69&gt;AG69, (AJ69-Isw_min)/1.2*0.8+1.2, AF69*0.2/350+1)</f>
        <v>1.2881364829396325</v>
      </c>
      <c r="AM69" s="317">
        <f t="shared" ref="AM69:AM105" si="144">F69*1000</f>
        <v>64</v>
      </c>
      <c r="AN69" s="147">
        <f t="shared" ref="AN69:AN105" si="145">IF(F69&gt;AG69, Y69, AF69)</f>
        <v>238.11000094482242</v>
      </c>
      <c r="AP69">
        <f t="shared" ref="AP69:AP105" si="146">IF(H69&gt;N69, "",AM69)</f>
        <v>64</v>
      </c>
      <c r="AQ69">
        <f t="shared" ref="AQ69:AQ105" si="147">IF(H69&gt;N69, "",AN69)</f>
        <v>238.11000094482242</v>
      </c>
      <c r="AS69" s="5">
        <f t="shared" si="55"/>
        <v>4.1997395994791979</v>
      </c>
      <c r="AT69" s="5">
        <f t="shared" ref="AT69:AT105" si="148">L*AJ69/I69*1000000</f>
        <v>2.1165354330708657</v>
      </c>
      <c r="AU69" s="5">
        <f t="shared" si="56"/>
        <v>2.0832041664083323</v>
      </c>
      <c r="AV69" s="5">
        <f t="shared" ref="AV69:AV105" si="149">L*AJ69/J69*1000000</f>
        <v>2.0832041664083323</v>
      </c>
      <c r="AW69" s="153">
        <f t="shared" si="57"/>
        <v>0.50396825396825395</v>
      </c>
      <c r="AX69" s="153">
        <f t="shared" ref="AX69:AX132" si="150">0.5*L*AJ69^2*AN69*1000</f>
        <v>1.4222222222222225</v>
      </c>
      <c r="AY69" s="153">
        <f t="shared" ref="AY69:AY132" si="151">AJ69*Nps/2*(1-AW69)</f>
        <v>6.9991251093613302E-2</v>
      </c>
      <c r="AZ69" s="153">
        <f t="shared" si="58"/>
        <v>20.320000000000004</v>
      </c>
      <c r="BA69" s="147">
        <f t="shared" ref="BA69:BA105" si="152">L*Isw_max^2/(2*Vout_ripple*Vout)*1000000000*((1+M69)/2)^2</f>
        <v>5.9640482169430262</v>
      </c>
      <c r="BB69" s="147">
        <f t="shared" ref="BB69:BB105" si="153">L*F69^2/(2*Cout*Vout*Nps^2)*1000000000*((1+M69)/(1-M69))^2+F69*RCoutEsr</f>
        <v>7.2522424319999974</v>
      </c>
      <c r="BC69" s="5">
        <f t="shared" ref="BC69:BC105" si="154">H69/Efficiency/I69*AU69/Vinripple1</f>
        <v>0.14813896294459253</v>
      </c>
      <c r="BD69" s="147">
        <f t="shared" ref="BD69:BD105" si="155">((CB69/I69/Efficiency)*AU69/Cin+(CB69/I69/Efficiency)*RCinEsr)*1000</f>
        <v>15.027229627792584</v>
      </c>
      <c r="BE69" s="5"/>
      <c r="BF69" s="153">
        <f t="shared" si="59"/>
        <v>0.11566587371551676</v>
      </c>
      <c r="BG69" s="153">
        <f t="shared" ref="BG69:BG132" si="156">AJ69*Nps*SQRT((1-AW69)/3)</f>
        <v>0.11475150464066743</v>
      </c>
      <c r="BH69" s="153"/>
      <c r="BI69" s="463">
        <f t="shared" ref="BI69:BI105" si="157">Rdson*BF69^2</f>
        <v>4.682508019830855E-3</v>
      </c>
      <c r="BJ69" s="463">
        <f t="shared" ref="BJ69:BJ105" si="158">0.5*K69*AJ69*AN69*1000*Trise</f>
        <v>1.354666666666667E-2</v>
      </c>
      <c r="BK69" s="463">
        <f t="shared" ref="BK69:BK105" si="159">Qg*Vdd*AN69*1000</f>
        <v>2.9763750118102805E-3</v>
      </c>
      <c r="BL69" s="463">
        <f t="shared" ref="BL69:BL105" si="160">0.5*(Coss+Csw)*K69^2*AN69*1000</f>
        <v>1.9354800000000005E-2</v>
      </c>
      <c r="BM69">
        <f t="shared" ref="BM69:BM105" si="161">I69*IQ</f>
        <v>5.7999999999999996E-3</v>
      </c>
      <c r="BN69">
        <f t="shared" ref="BN69:BN105" si="162">(I69-Vdd)*Qg*AN69</f>
        <v>8.92912503543084E-6</v>
      </c>
      <c r="BO69" s="463">
        <f t="shared" ref="BO69:BO100" si="163">(BJ69+BK69+BL69+BM69+BN69+BI69*(1+RdsonTC*(Ta-25)))/(1-BI69*RdsonTC*ThetaJA)</f>
        <v>4.7042058109270937E-2</v>
      </c>
      <c r="BP69" s="147">
        <f t="shared" si="60"/>
        <v>47.04205810927094</v>
      </c>
      <c r="BQ69" s="463">
        <f t="shared" ref="BQ69:BQ105" si="164">(Vfwd2*F69+BG69^2*Rdiode)*(1+Diode_TC/1000*(Ta-25))</f>
        <v>3.4508281572414999E-2</v>
      </c>
      <c r="BR69" s="463"/>
      <c r="BT69" s="147">
        <f t="shared" si="61"/>
        <v>34.508281572415001</v>
      </c>
      <c r="BU69" s="463">
        <f t="shared" ref="BU69:BU105" si="165">Rdcr_pri*BF69^2</f>
        <v>1.0702875473899098E-2</v>
      </c>
      <c r="BV69" s="463">
        <f t="shared" ref="BV69:BV105" si="166">Rdcr_sec*BG69^2</f>
        <v>1.0481654622568507E-2</v>
      </c>
      <c r="BW69" s="463">
        <f t="shared" ref="BW69:BW105" si="167">AJ69^2.5*AN69^2.5*k_core</f>
        <v>0</v>
      </c>
      <c r="BX69" s="463">
        <f t="shared" ref="BX69:BX100" si="168">(BW69+(BU69+BV69)*(1+Ltc*(Ta-25)))/(1-(BU69+BV69)*Ltc*ThetaCa)</f>
        <v>2.3766953046613106E-2</v>
      </c>
      <c r="BY69" s="463">
        <f t="shared" ref="BY69:BY105" si="169">0.5*Lleak*0.000000001*AJ69^2*AN69*1000</f>
        <v>2.8444444444444456E-2</v>
      </c>
      <c r="BZ69" s="147">
        <f t="shared" si="62"/>
        <v>52.211397491057561</v>
      </c>
      <c r="CA69" s="153">
        <f t="shared" si="63"/>
        <v>0.13376173717274351</v>
      </c>
      <c r="CB69" s="5">
        <f t="shared" si="64"/>
        <v>1.28</v>
      </c>
      <c r="CC69" s="153">
        <f t="shared" si="65"/>
        <v>0.90538594046247023</v>
      </c>
      <c r="CD69" s="5">
        <f t="shared" si="66"/>
        <v>90.538594046247027</v>
      </c>
      <c r="CG69" s="59">
        <f t="shared" ref="CG69:CG105" si="170">IF(ABS(F69-Ioutmax_Vinnom)&lt;Iout/200, AN69, -50)</f>
        <v>-50</v>
      </c>
      <c r="CH69">
        <f t="shared" ref="CH69:CH105" si="171">IF(ABS(F69-Ioutmax_Vinnom)&lt;Iout/200, N69*CC69, -50)</f>
        <v>-50</v>
      </c>
    </row>
    <row r="70" spans="5:86" x14ac:dyDescent="0.25">
      <c r="E70" s="150">
        <v>65</v>
      </c>
      <c r="F70" s="191">
        <f t="shared" ref="F70:F101" si="172">IF(PLOT_TYPE=1, E70/100*Iout_max, min_I*EXP(N70*rr/100))</f>
        <v>6.5000000000000002E-2</v>
      </c>
      <c r="G70" s="191"/>
      <c r="H70" s="191">
        <f t="shared" si="120"/>
        <v>1.3</v>
      </c>
      <c r="I70" s="472">
        <f t="shared" si="121"/>
        <v>20</v>
      </c>
      <c r="J70" s="152">
        <f t="shared" si="122"/>
        <v>20.32</v>
      </c>
      <c r="K70" s="386">
        <f t="shared" si="123"/>
        <v>40.32</v>
      </c>
      <c r="L70" s="386"/>
      <c r="M70" s="191">
        <f t="shared" si="124"/>
        <v>0.50396825396825395</v>
      </c>
      <c r="N70" s="152">
        <f t="shared" si="125"/>
        <v>3.4017857142857144</v>
      </c>
      <c r="O70" s="152">
        <f t="shared" ref="O70:O133" si="173">T70*F70</f>
        <v>1.3</v>
      </c>
      <c r="P70" s="191">
        <f t="shared" si="126"/>
        <v>0.17008928571428572</v>
      </c>
      <c r="Q70" s="191">
        <f t="shared" si="127"/>
        <v>20</v>
      </c>
      <c r="R70" s="191">
        <f t="shared" si="128"/>
        <v>0.18898809523809523</v>
      </c>
      <c r="S70" s="152">
        <f t="shared" si="129"/>
        <v>83.922125338732698</v>
      </c>
      <c r="T70" s="152">
        <f t="shared" si="130"/>
        <v>20</v>
      </c>
      <c r="U70" s="191">
        <f t="shared" si="131"/>
        <v>0.28661417322834648</v>
      </c>
      <c r="V70" s="191">
        <f t="shared" si="132"/>
        <v>2.1496062992125982</v>
      </c>
      <c r="W70" s="191">
        <f t="shared" si="133"/>
        <v>2.1157542315084625</v>
      </c>
      <c r="X70" s="175">
        <f t="shared" si="134"/>
        <v>350</v>
      </c>
      <c r="Y70" s="386">
        <f t="shared" ref="Y70:Y105" si="174">MIN(1/(V70+W70)*1000, 350)</f>
        <v>234.44677016105589</v>
      </c>
      <c r="AA70" s="191">
        <f t="shared" si="135"/>
        <v>0.19198790627362058</v>
      </c>
      <c r="AB70" s="153">
        <f t="shared" si="136"/>
        <v>1.4172335600907029</v>
      </c>
      <c r="AC70" s="153">
        <f t="shared" si="137"/>
        <v>4.7616048182941621E-2</v>
      </c>
      <c r="AD70" s="153"/>
      <c r="AE70" s="153">
        <f t="shared" si="138"/>
        <v>1.1072834645669289</v>
      </c>
      <c r="AF70" s="317">
        <f t="shared" si="139"/>
        <v>782.6962962962964</v>
      </c>
      <c r="AG70" s="463">
        <f t="shared" si="140"/>
        <v>2.9066190944881887E-2</v>
      </c>
      <c r="AI70" s="153">
        <f t="shared" si="141"/>
        <v>0.2364463539724779</v>
      </c>
      <c r="AJ70" s="153">
        <f t="shared" si="89"/>
        <v>0.28661417322834648</v>
      </c>
      <c r="AK70" s="153">
        <f t="shared" si="143"/>
        <v>1.2910761154855643</v>
      </c>
      <c r="AM70" s="317">
        <f t="shared" si="144"/>
        <v>65</v>
      </c>
      <c r="AN70" s="147">
        <f t="shared" si="145"/>
        <v>234.44677016105589</v>
      </c>
      <c r="AP70">
        <f t="shared" si="146"/>
        <v>65</v>
      </c>
      <c r="AQ70">
        <f t="shared" si="147"/>
        <v>234.44677016105589</v>
      </c>
      <c r="AS70" s="5">
        <f t="shared" ref="AS70:AS133" si="175">1/AN70*1000</f>
        <v>4.2653605307210611</v>
      </c>
      <c r="AT70" s="5">
        <f t="shared" si="148"/>
        <v>2.1496062992125982</v>
      </c>
      <c r="AU70" s="5">
        <f t="shared" ref="AU70:AU105" si="176">AS70-AT70</f>
        <v>2.115754231508463</v>
      </c>
      <c r="AV70" s="5">
        <f t="shared" si="149"/>
        <v>2.1157542315084625</v>
      </c>
      <c r="AW70" s="153">
        <f t="shared" ref="AW70:AW105" si="177">AT70/AS70</f>
        <v>0.50396825396825395</v>
      </c>
      <c r="AX70" s="153">
        <f t="shared" si="150"/>
        <v>1.4444444444444446</v>
      </c>
      <c r="AY70" s="153">
        <f t="shared" si="151"/>
        <v>7.1084864391951011E-2</v>
      </c>
      <c r="AZ70" s="153">
        <f t="shared" ref="AZ70:AZ133" si="178">AX70/AY70</f>
        <v>20.32</v>
      </c>
      <c r="BA70" s="147">
        <f t="shared" si="152"/>
        <v>5.9640482169430262</v>
      </c>
      <c r="BB70" s="147">
        <f t="shared" si="153"/>
        <v>7.4775986999999988</v>
      </c>
      <c r="BC70" s="5">
        <f t="shared" si="154"/>
        <v>0.1528044722756112</v>
      </c>
      <c r="BD70" s="147">
        <f t="shared" si="155"/>
        <v>15.497113894227789</v>
      </c>
      <c r="BE70" s="5"/>
      <c r="BF70" s="153">
        <f t="shared" ref="BF70:BF133" si="179">AJ70*SQRT(AW70/3)</f>
        <v>0.11747315299232172</v>
      </c>
      <c r="BG70" s="153">
        <f t="shared" si="156"/>
        <v>0.11654449690067786</v>
      </c>
      <c r="BH70" s="153"/>
      <c r="BI70" s="463">
        <f t="shared" si="157"/>
        <v>4.829979585885099E-3</v>
      </c>
      <c r="BJ70" s="463">
        <f t="shared" si="158"/>
        <v>1.3546666666666667E-2</v>
      </c>
      <c r="BK70" s="463">
        <f t="shared" si="159"/>
        <v>2.9305846270131987E-3</v>
      </c>
      <c r="BL70" s="463">
        <f t="shared" si="160"/>
        <v>1.9057033846153849E-2</v>
      </c>
      <c r="BM70">
        <f t="shared" si="161"/>
        <v>5.7999999999999996E-3</v>
      </c>
      <c r="BN70">
        <f t="shared" si="162"/>
        <v>8.7917538810395964E-6</v>
      </c>
      <c r="BO70" s="463">
        <f t="shared" si="163"/>
        <v>4.6866868253816141E-2</v>
      </c>
      <c r="BP70" s="147">
        <f t="shared" ref="BP70:BP105" si="180">BO70*1000</f>
        <v>46.866868253816143</v>
      </c>
      <c r="BQ70" s="463">
        <f t="shared" si="164"/>
        <v>3.5207121494983735E-2</v>
      </c>
      <c r="BR70" s="463"/>
      <c r="BT70" s="147">
        <f t="shared" ref="BT70:BT105" si="181">SUM(BQ70:BS70)*1000</f>
        <v>35.207121494983738</v>
      </c>
      <c r="BU70" s="463">
        <f t="shared" si="165"/>
        <v>1.1039953339165942E-2</v>
      </c>
      <c r="BV70" s="463">
        <f t="shared" si="166"/>
        <v>1.0811765327234362E-2</v>
      </c>
      <c r="BW70" s="463">
        <f t="shared" si="167"/>
        <v>0</v>
      </c>
      <c r="BX70" s="463">
        <f t="shared" si="168"/>
        <v>2.4516783615021177E-2</v>
      </c>
      <c r="BY70" s="463">
        <f t="shared" si="169"/>
        <v>2.8888888888888895E-2</v>
      </c>
      <c r="BZ70" s="147">
        <f t="shared" ref="BZ70:BZ105" si="182">1000*(BX70+BY70)</f>
        <v>53.405672503910068</v>
      </c>
      <c r="CA70" s="153">
        <f t="shared" ref="CA70:CA105" si="183">SUM(BO70,BQ70:BS70,BX70, BY70)</f>
        <v>0.13547966225270994</v>
      </c>
      <c r="CB70" s="5">
        <f t="shared" ref="CB70:CB105" si="184">MIN(H70,O70)</f>
        <v>1.3</v>
      </c>
      <c r="CC70" s="153">
        <f t="shared" ref="CC70:CC105" si="185">CB70/(CB70+CA70)</f>
        <v>0.90562063272975912</v>
      </c>
      <c r="CD70" s="5">
        <f t="shared" ref="CD70:CD105" si="186">CC70*100</f>
        <v>90.562063272975905</v>
      </c>
      <c r="CG70" s="59">
        <f t="shared" si="170"/>
        <v>-50</v>
      </c>
      <c r="CH70">
        <f t="shared" si="171"/>
        <v>-50</v>
      </c>
    </row>
    <row r="71" spans="5:86" x14ac:dyDescent="0.25">
      <c r="E71" s="150">
        <v>66</v>
      </c>
      <c r="F71" s="191">
        <f t="shared" si="172"/>
        <v>6.6000000000000003E-2</v>
      </c>
      <c r="G71" s="191"/>
      <c r="H71" s="191">
        <f t="shared" si="120"/>
        <v>1.32</v>
      </c>
      <c r="I71" s="472">
        <f t="shared" si="121"/>
        <v>20</v>
      </c>
      <c r="J71" s="152">
        <f t="shared" si="122"/>
        <v>20.32</v>
      </c>
      <c r="K71" s="386">
        <f t="shared" si="123"/>
        <v>40.32</v>
      </c>
      <c r="L71" s="386"/>
      <c r="M71" s="191">
        <f t="shared" si="124"/>
        <v>0.50396825396825395</v>
      </c>
      <c r="N71" s="152">
        <f t="shared" si="125"/>
        <v>3.4017857142857144</v>
      </c>
      <c r="O71" s="152">
        <f t="shared" si="173"/>
        <v>1.32</v>
      </c>
      <c r="P71" s="191">
        <f t="shared" si="126"/>
        <v>0.17008928571428572</v>
      </c>
      <c r="Q71" s="191">
        <f t="shared" si="127"/>
        <v>20</v>
      </c>
      <c r="R71" s="191">
        <f t="shared" si="128"/>
        <v>0.18898809523809523</v>
      </c>
      <c r="S71" s="152">
        <f t="shared" si="129"/>
        <v>82.350143371683643</v>
      </c>
      <c r="T71" s="152">
        <f t="shared" si="130"/>
        <v>20</v>
      </c>
      <c r="U71" s="191">
        <f t="shared" si="131"/>
        <v>0.29102362204724413</v>
      </c>
      <c r="V71" s="191">
        <f t="shared" si="132"/>
        <v>2.1826771653543307</v>
      </c>
      <c r="W71" s="191">
        <f t="shared" si="133"/>
        <v>2.1483042966085932</v>
      </c>
      <c r="X71" s="175">
        <f t="shared" si="134"/>
        <v>350</v>
      </c>
      <c r="Y71" s="386">
        <f t="shared" si="174"/>
        <v>230.89454637073683</v>
      </c>
      <c r="AA71" s="191">
        <f t="shared" si="135"/>
        <v>0.19198790627362058</v>
      </c>
      <c r="AB71" s="153">
        <f t="shared" si="136"/>
        <v>1.4172335600907029</v>
      </c>
      <c r="AC71" s="153">
        <f t="shared" si="137"/>
        <v>4.7616048182941621E-2</v>
      </c>
      <c r="AD71" s="153"/>
      <c r="AE71" s="153">
        <f t="shared" si="138"/>
        <v>1.1072834645669289</v>
      </c>
      <c r="AF71" s="317">
        <f t="shared" si="139"/>
        <v>794.73777777777786</v>
      </c>
      <c r="AG71" s="463">
        <f t="shared" si="140"/>
        <v>2.9066190944881887E-2</v>
      </c>
      <c r="AI71" s="153">
        <f t="shared" si="141"/>
        <v>0.23825822992497897</v>
      </c>
      <c r="AJ71" s="153">
        <f t="shared" si="89"/>
        <v>0.29102362204724413</v>
      </c>
      <c r="AK71" s="153">
        <f t="shared" si="143"/>
        <v>1.294015748031496</v>
      </c>
      <c r="AM71" s="317">
        <f t="shared" si="144"/>
        <v>66</v>
      </c>
      <c r="AN71" s="147">
        <f t="shared" si="145"/>
        <v>230.89454637073683</v>
      </c>
      <c r="AP71">
        <f t="shared" si="146"/>
        <v>66</v>
      </c>
      <c r="AQ71">
        <f t="shared" si="147"/>
        <v>230.89454637073683</v>
      </c>
      <c r="AS71" s="5">
        <f t="shared" si="175"/>
        <v>4.3309814619629243</v>
      </c>
      <c r="AT71" s="5">
        <f t="shared" si="148"/>
        <v>2.1826771653543307</v>
      </c>
      <c r="AU71" s="5">
        <f t="shared" si="176"/>
        <v>2.1483042966085937</v>
      </c>
      <c r="AV71" s="5">
        <f t="shared" si="149"/>
        <v>2.1483042966085932</v>
      </c>
      <c r="AW71" s="153">
        <f t="shared" si="177"/>
        <v>0.50396825396825395</v>
      </c>
      <c r="AX71" s="153">
        <f t="shared" si="150"/>
        <v>1.4666666666666668</v>
      </c>
      <c r="AY71" s="153">
        <f t="shared" si="151"/>
        <v>7.217847769028872E-2</v>
      </c>
      <c r="AZ71" s="153">
        <f t="shared" si="178"/>
        <v>20.32</v>
      </c>
      <c r="BA71" s="147">
        <f t="shared" si="152"/>
        <v>5.9640482169430262</v>
      </c>
      <c r="BB71" s="147">
        <f t="shared" si="153"/>
        <v>7.7064023520000005</v>
      </c>
      <c r="BC71" s="5">
        <f t="shared" si="154"/>
        <v>0.15754231508463021</v>
      </c>
      <c r="BD71" s="147">
        <f t="shared" si="155"/>
        <v>15.974231508463024</v>
      </c>
      <c r="BE71" s="5"/>
      <c r="BF71" s="153">
        <f t="shared" si="179"/>
        <v>0.11928043226912667</v>
      </c>
      <c r="BG71" s="153">
        <f t="shared" si="156"/>
        <v>0.1183374891606883</v>
      </c>
      <c r="BH71" s="153"/>
      <c r="BI71" s="463">
        <f t="shared" si="157"/>
        <v>4.9797375328083995E-3</v>
      </c>
      <c r="BJ71" s="463">
        <f t="shared" si="158"/>
        <v>1.3546666666666667E-2</v>
      </c>
      <c r="BK71" s="463">
        <f t="shared" si="159"/>
        <v>2.8861818296342105E-3</v>
      </c>
      <c r="BL71" s="463">
        <f t="shared" si="160"/>
        <v>1.876829090909091E-2</v>
      </c>
      <c r="BM71">
        <f t="shared" si="161"/>
        <v>5.7999999999999996E-3</v>
      </c>
      <c r="BN71">
        <f t="shared" si="162"/>
        <v>8.6585454889026314E-6</v>
      </c>
      <c r="BO71" s="463">
        <f t="shared" si="163"/>
        <v>4.6704710544028388E-2</v>
      </c>
      <c r="BP71" s="147">
        <f t="shared" si="180"/>
        <v>46.704710544028387</v>
      </c>
      <c r="BQ71" s="463">
        <f t="shared" si="164"/>
        <v>3.5910873664414006E-2</v>
      </c>
      <c r="BR71" s="463"/>
      <c r="BT71" s="147">
        <f t="shared" si="181"/>
        <v>35.910873664414005</v>
      </c>
      <c r="BU71" s="463">
        <f t="shared" si="165"/>
        <v>1.1382257217847773E-2</v>
      </c>
      <c r="BV71" s="463">
        <f t="shared" si="166"/>
        <v>1.1146994027321392E-2</v>
      </c>
      <c r="BW71" s="463">
        <f t="shared" si="167"/>
        <v>0</v>
      </c>
      <c r="BX71" s="463">
        <f t="shared" si="168"/>
        <v>2.5278321527128732E-2</v>
      </c>
      <c r="BY71" s="463">
        <f t="shared" si="169"/>
        <v>2.933333333333334E-2</v>
      </c>
      <c r="BZ71" s="147">
        <f t="shared" si="182"/>
        <v>54.611654860462075</v>
      </c>
      <c r="CA71" s="153">
        <f t="shared" si="183"/>
        <v>0.13722723906890447</v>
      </c>
      <c r="CB71" s="5">
        <f t="shared" si="184"/>
        <v>1.32</v>
      </c>
      <c r="CC71" s="153">
        <f t="shared" si="185"/>
        <v>0.90582989708826345</v>
      </c>
      <c r="CD71" s="5">
        <f t="shared" si="186"/>
        <v>90.582989708826346</v>
      </c>
      <c r="CG71" s="59">
        <f t="shared" si="170"/>
        <v>-50</v>
      </c>
      <c r="CH71">
        <f t="shared" si="171"/>
        <v>-50</v>
      </c>
    </row>
    <row r="72" spans="5:86" x14ac:dyDescent="0.25">
      <c r="E72" s="150">
        <v>67</v>
      </c>
      <c r="F72" s="191">
        <f t="shared" si="172"/>
        <v>6.7000000000000004E-2</v>
      </c>
      <c r="G72" s="191"/>
      <c r="H72" s="191">
        <f t="shared" si="120"/>
        <v>1.34</v>
      </c>
      <c r="I72" s="472">
        <f t="shared" si="121"/>
        <v>20</v>
      </c>
      <c r="J72" s="152">
        <f t="shared" si="122"/>
        <v>20.32</v>
      </c>
      <c r="K72" s="386">
        <f t="shared" si="123"/>
        <v>40.32</v>
      </c>
      <c r="L72" s="386"/>
      <c r="M72" s="191">
        <f t="shared" si="124"/>
        <v>0.50396825396825395</v>
      </c>
      <c r="N72" s="152">
        <f t="shared" si="125"/>
        <v>3.4017857142857144</v>
      </c>
      <c r="O72" s="152">
        <f t="shared" si="173"/>
        <v>1.34</v>
      </c>
      <c r="P72" s="191">
        <f t="shared" si="126"/>
        <v>0.17008928571428572</v>
      </c>
      <c r="Q72" s="191">
        <f t="shared" si="127"/>
        <v>20</v>
      </c>
      <c r="R72" s="191">
        <f t="shared" si="128"/>
        <v>0.18898809523809523</v>
      </c>
      <c r="S72" s="152">
        <f t="shared" si="129"/>
        <v>80.825139677524731</v>
      </c>
      <c r="T72" s="152">
        <f t="shared" si="130"/>
        <v>20</v>
      </c>
      <c r="U72" s="191">
        <f t="shared" si="131"/>
        <v>0.29543307086614173</v>
      </c>
      <c r="V72" s="191">
        <f t="shared" si="132"/>
        <v>2.2157480314960627</v>
      </c>
      <c r="W72" s="191">
        <f t="shared" si="133"/>
        <v>2.180854361708723</v>
      </c>
      <c r="X72" s="175">
        <f t="shared" si="134"/>
        <v>350</v>
      </c>
      <c r="Y72" s="386">
        <f t="shared" si="174"/>
        <v>227.44835911147214</v>
      </c>
      <c r="AA72" s="191">
        <f t="shared" si="135"/>
        <v>0.19198790627362058</v>
      </c>
      <c r="AB72" s="153">
        <f t="shared" si="136"/>
        <v>1.4172335600907029</v>
      </c>
      <c r="AC72" s="153">
        <f t="shared" si="137"/>
        <v>4.7616048182941621E-2</v>
      </c>
      <c r="AD72" s="153"/>
      <c r="AE72" s="153">
        <f t="shared" si="138"/>
        <v>1.1072834645669289</v>
      </c>
      <c r="AF72" s="317">
        <f t="shared" si="139"/>
        <v>806.77925925925933</v>
      </c>
      <c r="AG72" s="463">
        <f t="shared" si="140"/>
        <v>2.9066190944881887E-2</v>
      </c>
      <c r="AI72" s="153">
        <f t="shared" si="141"/>
        <v>0.24005643075554123</v>
      </c>
      <c r="AJ72" s="153">
        <f t="shared" si="142"/>
        <v>0.29543307086614173</v>
      </c>
      <c r="AK72" s="153">
        <f t="shared" si="143"/>
        <v>1.2969553805774279</v>
      </c>
      <c r="AM72" s="317">
        <f t="shared" si="144"/>
        <v>67</v>
      </c>
      <c r="AN72" s="147">
        <f t="shared" si="145"/>
        <v>227.44835911147214</v>
      </c>
      <c r="AP72">
        <f t="shared" si="146"/>
        <v>67</v>
      </c>
      <c r="AQ72">
        <f t="shared" si="147"/>
        <v>227.44835911147214</v>
      </c>
      <c r="AS72" s="5">
        <f t="shared" si="175"/>
        <v>4.3966023932047857</v>
      </c>
      <c r="AT72" s="5">
        <f t="shared" si="148"/>
        <v>2.2157480314960627</v>
      </c>
      <c r="AU72" s="5">
        <f t="shared" si="176"/>
        <v>2.180854361708723</v>
      </c>
      <c r="AV72" s="5">
        <f t="shared" si="149"/>
        <v>2.180854361708723</v>
      </c>
      <c r="AW72" s="153">
        <f t="shared" si="177"/>
        <v>0.50396825396825395</v>
      </c>
      <c r="AX72" s="153">
        <f t="shared" si="150"/>
        <v>1.4888888888888887</v>
      </c>
      <c r="AY72" s="153">
        <f t="shared" si="151"/>
        <v>7.3272090988626429E-2</v>
      </c>
      <c r="AZ72" s="153">
        <f t="shared" si="178"/>
        <v>20.319999999999997</v>
      </c>
      <c r="BA72" s="147">
        <f t="shared" si="152"/>
        <v>5.9640482169430262</v>
      </c>
      <c r="BB72" s="147">
        <f t="shared" si="153"/>
        <v>7.9386533880000005</v>
      </c>
      <c r="BC72" s="5">
        <f t="shared" si="154"/>
        <v>0.16235249137164939</v>
      </c>
      <c r="BD72" s="147">
        <f t="shared" si="155"/>
        <v>16.458582470498271</v>
      </c>
      <c r="BE72" s="5"/>
      <c r="BF72" s="153">
        <f t="shared" si="179"/>
        <v>0.12108771154593161</v>
      </c>
      <c r="BG72" s="153">
        <f t="shared" si="156"/>
        <v>0.12013048142069871</v>
      </c>
      <c r="BH72" s="153"/>
      <c r="BI72" s="463">
        <f t="shared" si="157"/>
        <v>5.1317818606007584E-3</v>
      </c>
      <c r="BJ72" s="463">
        <f t="shared" si="158"/>
        <v>1.3546666666666667E-2</v>
      </c>
      <c r="BK72" s="463">
        <f t="shared" si="159"/>
        <v>2.8431044888934018E-3</v>
      </c>
      <c r="BL72" s="463">
        <f t="shared" si="160"/>
        <v>1.8488167164179108E-2</v>
      </c>
      <c r="BM72">
        <f t="shared" si="161"/>
        <v>5.7999999999999996E-3</v>
      </c>
      <c r="BN72">
        <f t="shared" si="162"/>
        <v>8.5293134666802057E-6</v>
      </c>
      <c r="BO72" s="463">
        <f t="shared" si="163"/>
        <v>4.655511907201073E-2</v>
      </c>
      <c r="BP72" s="147">
        <f t="shared" si="180"/>
        <v>46.555119072010733</v>
      </c>
      <c r="BQ72" s="463">
        <f t="shared" si="164"/>
        <v>3.6619538080705796E-2</v>
      </c>
      <c r="BR72" s="463"/>
      <c r="BT72" s="147">
        <f t="shared" si="181"/>
        <v>36.619538080705794</v>
      </c>
      <c r="BU72" s="463">
        <f t="shared" si="165"/>
        <v>1.1729787109944592E-2</v>
      </c>
      <c r="BV72" s="463">
        <f t="shared" si="166"/>
        <v>1.1487340722829595E-2</v>
      </c>
      <c r="BW72" s="463">
        <f t="shared" si="167"/>
        <v>0</v>
      </c>
      <c r="BX72" s="463">
        <f t="shared" si="168"/>
        <v>2.6051570584267048E-2</v>
      </c>
      <c r="BY72" s="463">
        <f t="shared" si="169"/>
        <v>2.9777777777777778E-2</v>
      </c>
      <c r="BZ72" s="147">
        <f t="shared" si="182"/>
        <v>55.829348362044826</v>
      </c>
      <c r="CA72" s="153">
        <f t="shared" si="183"/>
        <v>0.13900400551476133</v>
      </c>
      <c r="CB72" s="5">
        <f t="shared" si="184"/>
        <v>1.34</v>
      </c>
      <c r="CC72" s="153">
        <f t="shared" si="185"/>
        <v>0.90601512572213661</v>
      </c>
      <c r="CD72" s="5">
        <f t="shared" si="186"/>
        <v>90.601512572213664</v>
      </c>
      <c r="CG72" s="59">
        <f t="shared" si="170"/>
        <v>-50</v>
      </c>
      <c r="CH72">
        <f t="shared" si="171"/>
        <v>-50</v>
      </c>
    </row>
    <row r="73" spans="5:86" x14ac:dyDescent="0.25">
      <c r="E73" s="150">
        <v>68</v>
      </c>
      <c r="F73" s="191">
        <f t="shared" si="172"/>
        <v>6.8000000000000005E-2</v>
      </c>
      <c r="G73" s="191"/>
      <c r="H73" s="191">
        <f t="shared" si="120"/>
        <v>1.36</v>
      </c>
      <c r="I73" s="472">
        <f t="shared" si="121"/>
        <v>20</v>
      </c>
      <c r="J73" s="152">
        <f t="shared" si="122"/>
        <v>20.32</v>
      </c>
      <c r="K73" s="386">
        <f t="shared" si="123"/>
        <v>40.32</v>
      </c>
      <c r="L73" s="386"/>
      <c r="M73" s="191">
        <f t="shared" si="124"/>
        <v>0.50396825396825395</v>
      </c>
      <c r="N73" s="152">
        <f t="shared" si="125"/>
        <v>3.4017857142857144</v>
      </c>
      <c r="O73" s="152">
        <f t="shared" si="173"/>
        <v>1.36</v>
      </c>
      <c r="P73" s="191">
        <f t="shared" si="126"/>
        <v>0.17008928571428572</v>
      </c>
      <c r="Q73" s="191">
        <f t="shared" si="127"/>
        <v>20</v>
      </c>
      <c r="R73" s="191">
        <f t="shared" si="128"/>
        <v>0.18898809523809523</v>
      </c>
      <c r="S73" s="152">
        <f t="shared" si="129"/>
        <v>79.345042248459919</v>
      </c>
      <c r="T73" s="152">
        <f t="shared" si="130"/>
        <v>20</v>
      </c>
      <c r="U73" s="191">
        <f t="shared" si="131"/>
        <v>0.29984251968503939</v>
      </c>
      <c r="V73" s="191">
        <f t="shared" si="132"/>
        <v>2.2488188976377952</v>
      </c>
      <c r="W73" s="191">
        <f t="shared" si="133"/>
        <v>2.2134044268088533</v>
      </c>
      <c r="X73" s="175">
        <f t="shared" si="134"/>
        <v>350</v>
      </c>
      <c r="Y73" s="386">
        <f t="shared" si="174"/>
        <v>224.1035303010093</v>
      </c>
      <c r="AA73" s="191">
        <f t="shared" si="135"/>
        <v>0.19198790627362058</v>
      </c>
      <c r="AB73" s="153">
        <f t="shared" si="136"/>
        <v>1.4172335600907029</v>
      </c>
      <c r="AC73" s="153">
        <f t="shared" si="137"/>
        <v>4.7616048182941621E-2</v>
      </c>
      <c r="AD73" s="153"/>
      <c r="AE73" s="153">
        <f t="shared" si="138"/>
        <v>1.1072834645669289</v>
      </c>
      <c r="AF73" s="317">
        <f t="shared" si="139"/>
        <v>818.82074074074092</v>
      </c>
      <c r="AG73" s="463">
        <f t="shared" si="140"/>
        <v>2.9066190944881887E-2</v>
      </c>
      <c r="AI73" s="153">
        <f t="shared" si="141"/>
        <v>0.24184126150679039</v>
      </c>
      <c r="AJ73" s="153">
        <f t="shared" si="142"/>
        <v>0.29984251968503939</v>
      </c>
      <c r="AK73" s="153">
        <f t="shared" si="143"/>
        <v>1.2998950131233595</v>
      </c>
      <c r="AM73" s="317">
        <f t="shared" si="144"/>
        <v>68</v>
      </c>
      <c r="AN73" s="147">
        <f t="shared" si="145"/>
        <v>224.1035303010093</v>
      </c>
      <c r="AP73">
        <f t="shared" si="146"/>
        <v>68</v>
      </c>
      <c r="AQ73">
        <f t="shared" si="147"/>
        <v>224.1035303010093</v>
      </c>
      <c r="AS73" s="5">
        <f t="shared" si="175"/>
        <v>4.4622233244466489</v>
      </c>
      <c r="AT73" s="5">
        <f t="shared" si="148"/>
        <v>2.2488188976377952</v>
      </c>
      <c r="AU73" s="5">
        <f t="shared" si="176"/>
        <v>2.2134044268088537</v>
      </c>
      <c r="AV73" s="5">
        <f t="shared" si="149"/>
        <v>2.2134044268088533</v>
      </c>
      <c r="AW73" s="153">
        <f t="shared" si="177"/>
        <v>0.50396825396825395</v>
      </c>
      <c r="AX73" s="153">
        <f t="shared" si="150"/>
        <v>1.5111111111111111</v>
      </c>
      <c r="AY73" s="153">
        <f t="shared" si="151"/>
        <v>7.4365704286964138E-2</v>
      </c>
      <c r="AZ73" s="153">
        <f t="shared" si="178"/>
        <v>20.319999999999997</v>
      </c>
      <c r="BA73" s="147">
        <f t="shared" si="152"/>
        <v>5.9640482169430262</v>
      </c>
      <c r="BB73" s="147">
        <f t="shared" si="153"/>
        <v>8.1743518079999991</v>
      </c>
      <c r="BC73" s="5">
        <f t="shared" si="154"/>
        <v>0.16723500113666895</v>
      </c>
      <c r="BD73" s="147">
        <f t="shared" si="155"/>
        <v>16.950166780333561</v>
      </c>
      <c r="BE73" s="5"/>
      <c r="BF73" s="153">
        <f t="shared" si="179"/>
        <v>0.12289499082273657</v>
      </c>
      <c r="BG73" s="153">
        <f t="shared" si="156"/>
        <v>0.12192347368070915</v>
      </c>
      <c r="BH73" s="153"/>
      <c r="BI73" s="463">
        <f t="shared" si="157"/>
        <v>5.2861125692621764E-3</v>
      </c>
      <c r="BJ73" s="463">
        <f t="shared" si="158"/>
        <v>1.3546666666666667E-2</v>
      </c>
      <c r="BK73" s="463">
        <f t="shared" si="159"/>
        <v>2.8012941287626162E-3</v>
      </c>
      <c r="BL73" s="463">
        <f t="shared" si="160"/>
        <v>1.821628235294118E-2</v>
      </c>
      <c r="BM73">
        <f t="shared" si="161"/>
        <v>5.7999999999999996E-3</v>
      </c>
      <c r="BN73">
        <f t="shared" si="162"/>
        <v>8.4038823862878476E-6</v>
      </c>
      <c r="BO73" s="463">
        <f t="shared" si="163"/>
        <v>4.6417655368417132E-2</v>
      </c>
      <c r="BP73" s="147">
        <f t="shared" si="180"/>
        <v>46.41765536841713</v>
      </c>
      <c r="BQ73" s="463">
        <f t="shared" si="164"/>
        <v>3.7333114743859128E-2</v>
      </c>
      <c r="BR73" s="463"/>
      <c r="BT73" s="147">
        <f t="shared" si="181"/>
        <v>37.333114743859127</v>
      </c>
      <c r="BU73" s="463">
        <f t="shared" si="165"/>
        <v>1.2082543015456405E-2</v>
      </c>
      <c r="BV73" s="463">
        <f t="shared" si="166"/>
        <v>1.1832805413758979E-2</v>
      </c>
      <c r="BW73" s="463">
        <f t="shared" si="167"/>
        <v>0</v>
      </c>
      <c r="BX73" s="463">
        <f t="shared" si="168"/>
        <v>2.6836534646858215E-2</v>
      </c>
      <c r="BY73" s="463">
        <f t="shared" si="169"/>
        <v>3.0222222222222223E-2</v>
      </c>
      <c r="BZ73" s="147">
        <f t="shared" si="182"/>
        <v>57.058756869080433</v>
      </c>
      <c r="CA73" s="153">
        <f t="shared" si="183"/>
        <v>0.14080952698135671</v>
      </c>
      <c r="CB73" s="5">
        <f t="shared" si="184"/>
        <v>1.36</v>
      </c>
      <c r="CC73" s="153">
        <f t="shared" si="185"/>
        <v>0.90617761651302076</v>
      </c>
      <c r="CD73" s="5">
        <f t="shared" si="186"/>
        <v>90.617761651302075</v>
      </c>
      <c r="CG73" s="59">
        <f t="shared" si="170"/>
        <v>-50</v>
      </c>
      <c r="CH73">
        <f t="shared" si="171"/>
        <v>-50</v>
      </c>
    </row>
    <row r="74" spans="5:86" x14ac:dyDescent="0.25">
      <c r="E74" s="150">
        <v>69</v>
      </c>
      <c r="F74" s="191">
        <f t="shared" si="172"/>
        <v>6.8999999999999992E-2</v>
      </c>
      <c r="G74" s="191"/>
      <c r="H74" s="191">
        <f t="shared" si="120"/>
        <v>1.38</v>
      </c>
      <c r="I74" s="472">
        <f t="shared" si="121"/>
        <v>20</v>
      </c>
      <c r="J74" s="152">
        <f t="shared" si="122"/>
        <v>20.32</v>
      </c>
      <c r="K74" s="386">
        <f t="shared" si="123"/>
        <v>40.32</v>
      </c>
      <c r="L74" s="386"/>
      <c r="M74" s="191">
        <f t="shared" si="124"/>
        <v>0.50396825396825395</v>
      </c>
      <c r="N74" s="152">
        <f t="shared" si="125"/>
        <v>3.4017857142857144</v>
      </c>
      <c r="O74" s="152">
        <f t="shared" si="173"/>
        <v>1.38</v>
      </c>
      <c r="P74" s="191">
        <f t="shared" si="126"/>
        <v>0.17008928571428572</v>
      </c>
      <c r="Q74" s="191">
        <f t="shared" si="127"/>
        <v>20</v>
      </c>
      <c r="R74" s="191">
        <f t="shared" si="128"/>
        <v>0.18898809523809523</v>
      </c>
      <c r="S74" s="152">
        <f t="shared" si="129"/>
        <v>77.90789920081545</v>
      </c>
      <c r="T74" s="152">
        <f t="shared" si="130"/>
        <v>20</v>
      </c>
      <c r="U74" s="191">
        <f t="shared" si="131"/>
        <v>0.30425196850393699</v>
      </c>
      <c r="V74" s="191">
        <f t="shared" si="132"/>
        <v>2.2818897637795272</v>
      </c>
      <c r="W74" s="191">
        <f t="shared" si="133"/>
        <v>2.2459544919089831</v>
      </c>
      <c r="X74" s="175">
        <f t="shared" si="134"/>
        <v>350</v>
      </c>
      <c r="Y74" s="386">
        <f t="shared" si="174"/>
        <v>220.85565305027009</v>
      </c>
      <c r="AA74" s="191">
        <f t="shared" si="135"/>
        <v>0.19198790627362058</v>
      </c>
      <c r="AB74" s="153">
        <f t="shared" si="136"/>
        <v>1.4172335600907029</v>
      </c>
      <c r="AC74" s="153">
        <f t="shared" si="137"/>
        <v>4.7616048182941621E-2</v>
      </c>
      <c r="AD74" s="153"/>
      <c r="AE74" s="153">
        <f t="shared" si="138"/>
        <v>1.1072834645669289</v>
      </c>
      <c r="AF74" s="317">
        <f t="shared" si="139"/>
        <v>830.86222222222216</v>
      </c>
      <c r="AG74" s="463">
        <f t="shared" si="140"/>
        <v>2.9066190944881887E-2</v>
      </c>
      <c r="AI74" s="153">
        <f t="shared" si="141"/>
        <v>0.24361301604656019</v>
      </c>
      <c r="AJ74" s="153">
        <f t="shared" si="142"/>
        <v>0.30425196850393699</v>
      </c>
      <c r="AK74" s="153">
        <f t="shared" si="143"/>
        <v>1.3028346456692912</v>
      </c>
      <c r="AM74" s="317">
        <f t="shared" si="144"/>
        <v>68.999999999999986</v>
      </c>
      <c r="AN74" s="147">
        <f t="shared" si="145"/>
        <v>220.85565305027009</v>
      </c>
      <c r="AP74">
        <f t="shared" si="146"/>
        <v>68.999999999999986</v>
      </c>
      <c r="AQ74">
        <f t="shared" si="147"/>
        <v>220.85565305027009</v>
      </c>
      <c r="AS74" s="5">
        <f t="shared" si="175"/>
        <v>4.5278442556885103</v>
      </c>
      <c r="AT74" s="5">
        <f t="shared" si="148"/>
        <v>2.2818897637795272</v>
      </c>
      <c r="AU74" s="5">
        <f t="shared" si="176"/>
        <v>2.2459544919089831</v>
      </c>
      <c r="AV74" s="5">
        <f t="shared" si="149"/>
        <v>2.2459544919089831</v>
      </c>
      <c r="AW74" s="153">
        <f t="shared" si="177"/>
        <v>0.50396825396825407</v>
      </c>
      <c r="AX74" s="153">
        <f t="shared" si="150"/>
        <v>1.5333333333333337</v>
      </c>
      <c r="AY74" s="153">
        <f t="shared" si="151"/>
        <v>7.5459317585301819E-2</v>
      </c>
      <c r="AZ74" s="153">
        <f t="shared" si="178"/>
        <v>20.320000000000011</v>
      </c>
      <c r="BA74" s="147">
        <f t="shared" si="152"/>
        <v>5.9640482169430262</v>
      </c>
      <c r="BB74" s="147">
        <f t="shared" si="153"/>
        <v>8.4134976119999969</v>
      </c>
      <c r="BC74" s="5">
        <f t="shared" si="154"/>
        <v>0.17218984437968868</v>
      </c>
      <c r="BD74" s="147">
        <f t="shared" si="155"/>
        <v>17.448984437968871</v>
      </c>
      <c r="BE74" s="5"/>
      <c r="BF74" s="153">
        <f t="shared" si="179"/>
        <v>0.1247022700995415</v>
      </c>
      <c r="BG74" s="153">
        <f t="shared" si="156"/>
        <v>0.12371646594071954</v>
      </c>
      <c r="BH74" s="153"/>
      <c r="BI74" s="463">
        <f t="shared" si="157"/>
        <v>5.442729658792651E-3</v>
      </c>
      <c r="BJ74" s="463">
        <f t="shared" si="158"/>
        <v>1.354666666666667E-2</v>
      </c>
      <c r="BK74" s="463">
        <f t="shared" si="159"/>
        <v>2.7606956631283761E-3</v>
      </c>
      <c r="BL74" s="463">
        <f t="shared" si="160"/>
        <v>1.7952278260869575E-2</v>
      </c>
      <c r="BM74">
        <f t="shared" si="161"/>
        <v>5.7999999999999996E-3</v>
      </c>
      <c r="BN74">
        <f t="shared" si="162"/>
        <v>8.2820869893851281E-6</v>
      </c>
      <c r="BO74" s="463">
        <f t="shared" si="163"/>
        <v>4.6291906414638588E-2</v>
      </c>
      <c r="BP74" s="147">
        <f t="shared" si="180"/>
        <v>46.291906414638589</v>
      </c>
      <c r="BQ74" s="463">
        <f t="shared" si="164"/>
        <v>3.8051603653873972E-2</v>
      </c>
      <c r="BR74" s="463"/>
      <c r="BT74" s="147">
        <f t="shared" si="181"/>
        <v>38.051603653873975</v>
      </c>
      <c r="BU74" s="463">
        <f t="shared" si="165"/>
        <v>1.2440524934383204E-2</v>
      </c>
      <c r="BV74" s="463">
        <f t="shared" si="166"/>
        <v>1.2183388100109532E-2</v>
      </c>
      <c r="BW74" s="463">
        <f t="shared" si="167"/>
        <v>0</v>
      </c>
      <c r="BX74" s="463">
        <f t="shared" si="168"/>
        <v>2.7633217634463404E-2</v>
      </c>
      <c r="BY74" s="463">
        <f t="shared" si="169"/>
        <v>3.0666666666666675E-2</v>
      </c>
      <c r="BZ74" s="147">
        <f t="shared" si="182"/>
        <v>58.299884301130078</v>
      </c>
      <c r="CA74" s="153">
        <f t="shared" si="183"/>
        <v>0.14264339436964263</v>
      </c>
      <c r="CB74" s="5">
        <f t="shared" si="184"/>
        <v>1.38</v>
      </c>
      <c r="CC74" s="153">
        <f t="shared" si="185"/>
        <v>0.90631858063608162</v>
      </c>
      <c r="CD74" s="5">
        <f t="shared" si="186"/>
        <v>90.631858063608163</v>
      </c>
      <c r="CG74" s="59">
        <f t="shared" si="170"/>
        <v>-50</v>
      </c>
      <c r="CH74">
        <f t="shared" si="171"/>
        <v>-50</v>
      </c>
    </row>
    <row r="75" spans="5:86" x14ac:dyDescent="0.25">
      <c r="E75" s="150">
        <v>70</v>
      </c>
      <c r="F75" s="191">
        <f t="shared" si="172"/>
        <v>6.9999999999999993E-2</v>
      </c>
      <c r="G75" s="191"/>
      <c r="H75" s="191">
        <f t="shared" si="120"/>
        <v>1.4</v>
      </c>
      <c r="I75" s="472">
        <f t="shared" si="121"/>
        <v>20</v>
      </c>
      <c r="J75" s="152">
        <f t="shared" si="122"/>
        <v>20.32</v>
      </c>
      <c r="K75" s="386">
        <f t="shared" si="123"/>
        <v>40.32</v>
      </c>
      <c r="L75" s="386"/>
      <c r="M75" s="191">
        <f t="shared" si="124"/>
        <v>0.50396825396825395</v>
      </c>
      <c r="N75" s="152">
        <f t="shared" si="125"/>
        <v>3.4017857142857144</v>
      </c>
      <c r="O75" s="152">
        <f t="shared" si="173"/>
        <v>1.4</v>
      </c>
      <c r="P75" s="191">
        <f t="shared" si="126"/>
        <v>0.17008928571428572</v>
      </c>
      <c r="Q75" s="191">
        <f t="shared" si="127"/>
        <v>20</v>
      </c>
      <c r="R75" s="191">
        <f t="shared" si="128"/>
        <v>0.18898809523809523</v>
      </c>
      <c r="S75" s="152">
        <f t="shared" si="129"/>
        <v>76.511870194874646</v>
      </c>
      <c r="T75" s="152">
        <f t="shared" si="130"/>
        <v>20</v>
      </c>
      <c r="U75" s="191">
        <f t="shared" si="131"/>
        <v>0.30866141732283464</v>
      </c>
      <c r="V75" s="191">
        <f t="shared" si="132"/>
        <v>2.3149606299212593</v>
      </c>
      <c r="W75" s="191">
        <f t="shared" si="133"/>
        <v>2.2785045570091138</v>
      </c>
      <c r="X75" s="175">
        <f t="shared" si="134"/>
        <v>350</v>
      </c>
      <c r="Y75" s="386">
        <f t="shared" si="174"/>
        <v>217.70057229240905</v>
      </c>
      <c r="AA75" s="191">
        <f t="shared" si="135"/>
        <v>0.19198790627362058</v>
      </c>
      <c r="AB75" s="153">
        <f t="shared" si="136"/>
        <v>1.4172335600907029</v>
      </c>
      <c r="AC75" s="153">
        <f t="shared" si="137"/>
        <v>4.7616048182941621E-2</v>
      </c>
      <c r="AD75" s="153"/>
      <c r="AE75" s="153">
        <f t="shared" si="138"/>
        <v>1.1072834645669289</v>
      </c>
      <c r="AF75" s="317">
        <f t="shared" si="139"/>
        <v>842.90370370370374</v>
      </c>
      <c r="AG75" s="463">
        <f t="shared" si="140"/>
        <v>2.9066190944881887E-2</v>
      </c>
      <c r="AI75" s="153">
        <f t="shared" si="141"/>
        <v>0.24537197763275129</v>
      </c>
      <c r="AJ75" s="153">
        <f t="shared" si="142"/>
        <v>0.30866141732283464</v>
      </c>
      <c r="AK75" s="153">
        <f t="shared" si="143"/>
        <v>1.3057742782152231</v>
      </c>
      <c r="AM75" s="317">
        <f t="shared" si="144"/>
        <v>69.999999999999986</v>
      </c>
      <c r="AN75" s="147">
        <f t="shared" si="145"/>
        <v>217.70057229240905</v>
      </c>
      <c r="AP75">
        <f t="shared" si="146"/>
        <v>69.999999999999986</v>
      </c>
      <c r="AQ75">
        <f t="shared" si="147"/>
        <v>217.70057229240905</v>
      </c>
      <c r="AS75" s="5">
        <f t="shared" si="175"/>
        <v>4.5934651869303735</v>
      </c>
      <c r="AT75" s="5">
        <f t="shared" si="148"/>
        <v>2.3149606299212593</v>
      </c>
      <c r="AU75" s="5">
        <f t="shared" si="176"/>
        <v>2.2785045570091143</v>
      </c>
      <c r="AV75" s="5">
        <f t="shared" si="149"/>
        <v>2.2785045570091138</v>
      </c>
      <c r="AW75" s="153">
        <f t="shared" si="177"/>
        <v>0.50396825396825384</v>
      </c>
      <c r="AX75" s="153">
        <f t="shared" si="150"/>
        <v>1.5555555555555556</v>
      </c>
      <c r="AY75" s="153">
        <f t="shared" si="151"/>
        <v>7.6552930883639569E-2</v>
      </c>
      <c r="AZ75" s="153">
        <f t="shared" si="178"/>
        <v>20.319999999999993</v>
      </c>
      <c r="BA75" s="147">
        <f t="shared" si="152"/>
        <v>5.9640482169430262</v>
      </c>
      <c r="BB75" s="147">
        <f t="shared" si="153"/>
        <v>8.6560907999999976</v>
      </c>
      <c r="BC75" s="5">
        <f t="shared" si="154"/>
        <v>0.17721702110070886</v>
      </c>
      <c r="BD75" s="147">
        <f t="shared" si="155"/>
        <v>17.955035443404217</v>
      </c>
      <c r="BE75" s="5"/>
      <c r="BF75" s="153">
        <f t="shared" si="179"/>
        <v>0.12650954937634643</v>
      </c>
      <c r="BG75" s="153">
        <f t="shared" si="156"/>
        <v>0.12550945820073001</v>
      </c>
      <c r="BH75" s="153"/>
      <c r="BI75" s="463">
        <f t="shared" si="157"/>
        <v>5.6016331291921812E-3</v>
      </c>
      <c r="BJ75" s="463">
        <f t="shared" si="158"/>
        <v>1.3546666666666667E-2</v>
      </c>
      <c r="BK75" s="463">
        <f t="shared" si="159"/>
        <v>2.7212571536551129E-3</v>
      </c>
      <c r="BL75" s="463">
        <f t="shared" si="160"/>
        <v>1.7695817142857149E-2</v>
      </c>
      <c r="BM75">
        <f t="shared" si="161"/>
        <v>5.7999999999999996E-3</v>
      </c>
      <c r="BN75">
        <f t="shared" si="162"/>
        <v>8.1637714609653388E-6</v>
      </c>
      <c r="BO75" s="463">
        <f t="shared" si="163"/>
        <v>4.6177482825373407E-2</v>
      </c>
      <c r="BP75" s="147">
        <f t="shared" si="180"/>
        <v>46.17748282537341</v>
      </c>
      <c r="BQ75" s="463">
        <f t="shared" si="164"/>
        <v>3.8775004810750364E-2</v>
      </c>
      <c r="BR75" s="463"/>
      <c r="BT75" s="147">
        <f t="shared" si="181"/>
        <v>38.775004810750367</v>
      </c>
      <c r="BU75" s="463">
        <f t="shared" si="165"/>
        <v>1.2803732866724989E-2</v>
      </c>
      <c r="BV75" s="463">
        <f t="shared" si="166"/>
        <v>1.2539088781881274E-2</v>
      </c>
      <c r="BW75" s="463">
        <f t="shared" si="167"/>
        <v>0</v>
      </c>
      <c r="BX75" s="463">
        <f t="shared" si="168"/>
        <v>2.8441623525831971E-2</v>
      </c>
      <c r="BY75" s="463">
        <f t="shared" si="169"/>
        <v>3.1111111111111117E-2</v>
      </c>
      <c r="BZ75" s="147">
        <f t="shared" si="182"/>
        <v>59.552734636943093</v>
      </c>
      <c r="CA75" s="153">
        <f t="shared" si="183"/>
        <v>0.14450522227306686</v>
      </c>
      <c r="CB75" s="5">
        <f t="shared" si="184"/>
        <v>1.4</v>
      </c>
      <c r="CC75" s="153">
        <f t="shared" si="185"/>
        <v>0.90643914945111237</v>
      </c>
      <c r="CD75" s="5">
        <f t="shared" si="186"/>
        <v>90.643914945111234</v>
      </c>
      <c r="CG75" s="59">
        <f t="shared" si="170"/>
        <v>-50</v>
      </c>
      <c r="CH75">
        <f t="shared" si="171"/>
        <v>-50</v>
      </c>
    </row>
    <row r="76" spans="5:86" x14ac:dyDescent="0.25">
      <c r="E76" s="150">
        <v>71</v>
      </c>
      <c r="F76" s="191">
        <f t="shared" si="172"/>
        <v>7.0999999999999994E-2</v>
      </c>
      <c r="G76" s="191"/>
      <c r="H76" s="191">
        <f t="shared" si="120"/>
        <v>1.42</v>
      </c>
      <c r="I76" s="472">
        <f t="shared" si="121"/>
        <v>20</v>
      </c>
      <c r="J76" s="152">
        <f t="shared" si="122"/>
        <v>20.32</v>
      </c>
      <c r="K76" s="386">
        <f t="shared" si="123"/>
        <v>40.32</v>
      </c>
      <c r="L76" s="386"/>
      <c r="M76" s="191">
        <f t="shared" si="124"/>
        <v>0.50396825396825395</v>
      </c>
      <c r="N76" s="152">
        <f t="shared" si="125"/>
        <v>3.4017857142857144</v>
      </c>
      <c r="O76" s="152">
        <f t="shared" si="173"/>
        <v>1.42</v>
      </c>
      <c r="P76" s="191">
        <f t="shared" si="126"/>
        <v>0.17008928571428572</v>
      </c>
      <c r="Q76" s="191">
        <f t="shared" si="127"/>
        <v>20</v>
      </c>
      <c r="R76" s="191">
        <f t="shared" si="128"/>
        <v>0.18898809523809523</v>
      </c>
      <c r="S76" s="152">
        <f t="shared" si="129"/>
        <v>75.155218579799524</v>
      </c>
      <c r="T76" s="152">
        <f t="shared" si="130"/>
        <v>20</v>
      </c>
      <c r="U76" s="191">
        <f t="shared" si="131"/>
        <v>0.3130708661417323</v>
      </c>
      <c r="V76" s="191">
        <f t="shared" si="132"/>
        <v>2.3480314960629918</v>
      </c>
      <c r="W76" s="191">
        <f t="shared" si="133"/>
        <v>2.3110546221092441</v>
      </c>
      <c r="X76" s="175">
        <f t="shared" si="134"/>
        <v>350</v>
      </c>
      <c r="Y76" s="386">
        <f t="shared" si="174"/>
        <v>214.63436704885399</v>
      </c>
      <c r="AA76" s="191">
        <f t="shared" si="135"/>
        <v>0.19198790627362058</v>
      </c>
      <c r="AB76" s="153">
        <f t="shared" si="136"/>
        <v>1.4172335600907029</v>
      </c>
      <c r="AC76" s="153">
        <f t="shared" si="137"/>
        <v>4.7616048182941621E-2</v>
      </c>
      <c r="AD76" s="153"/>
      <c r="AE76" s="153">
        <f t="shared" si="138"/>
        <v>1.1072834645669289</v>
      </c>
      <c r="AF76" s="317">
        <f t="shared" si="139"/>
        <v>854.94518518518521</v>
      </c>
      <c r="AG76" s="463">
        <f t="shared" si="140"/>
        <v>2.9066190944881887E-2</v>
      </c>
      <c r="AI76" s="153">
        <f t="shared" si="141"/>
        <v>0.247118419442002</v>
      </c>
      <c r="AJ76" s="153">
        <f t="shared" si="142"/>
        <v>0.3130708661417323</v>
      </c>
      <c r="AK76" s="153">
        <f t="shared" si="143"/>
        <v>1.3087139107611547</v>
      </c>
      <c r="AM76" s="317">
        <f t="shared" si="144"/>
        <v>71</v>
      </c>
      <c r="AN76" s="147">
        <f t="shared" si="145"/>
        <v>214.63436704885399</v>
      </c>
      <c r="AP76">
        <f t="shared" si="146"/>
        <v>71</v>
      </c>
      <c r="AQ76">
        <f t="shared" si="147"/>
        <v>214.63436704885399</v>
      </c>
      <c r="AS76" s="5">
        <f t="shared" si="175"/>
        <v>4.6590861181722358</v>
      </c>
      <c r="AT76" s="5">
        <f t="shared" si="148"/>
        <v>2.3480314960629918</v>
      </c>
      <c r="AU76" s="5">
        <f t="shared" si="176"/>
        <v>2.3110546221092441</v>
      </c>
      <c r="AV76" s="5">
        <f t="shared" si="149"/>
        <v>2.3110546221092441</v>
      </c>
      <c r="AW76" s="153">
        <f t="shared" si="177"/>
        <v>0.50396825396825395</v>
      </c>
      <c r="AX76" s="153">
        <f t="shared" si="150"/>
        <v>1.5777777777777777</v>
      </c>
      <c r="AY76" s="153">
        <f t="shared" si="151"/>
        <v>7.7646544181977264E-2</v>
      </c>
      <c r="AZ76" s="153">
        <f t="shared" si="178"/>
        <v>20.319999999999997</v>
      </c>
      <c r="BA76" s="147">
        <f t="shared" si="152"/>
        <v>5.9640482169430262</v>
      </c>
      <c r="BB76" s="147">
        <f t="shared" si="153"/>
        <v>8.9021313719999959</v>
      </c>
      <c r="BC76" s="5">
        <f t="shared" si="154"/>
        <v>0.18231653129972925</v>
      </c>
      <c r="BD76" s="147">
        <f t="shared" si="155"/>
        <v>18.468319796639591</v>
      </c>
      <c r="BE76" s="5"/>
      <c r="BF76" s="153">
        <f t="shared" si="179"/>
        <v>0.12831682865315142</v>
      </c>
      <c r="BG76" s="153">
        <f t="shared" si="156"/>
        <v>0.12730245046074043</v>
      </c>
      <c r="BH76" s="153"/>
      <c r="BI76" s="463">
        <f t="shared" si="157"/>
        <v>5.7628229804607767E-3</v>
      </c>
      <c r="BJ76" s="463">
        <f t="shared" si="158"/>
        <v>1.354666666666667E-2</v>
      </c>
      <c r="BK76" s="463">
        <f t="shared" si="159"/>
        <v>2.6829295881106744E-3</v>
      </c>
      <c r="BL76" s="463">
        <f t="shared" si="160"/>
        <v>1.7446580281690147E-2</v>
      </c>
      <c r="BM76">
        <f t="shared" si="161"/>
        <v>5.7999999999999996E-3</v>
      </c>
      <c r="BN76">
        <f t="shared" si="162"/>
        <v>8.0487887643320236E-6</v>
      </c>
      <c r="BO76" s="463">
        <f t="shared" si="163"/>
        <v>4.6074017184783697E-2</v>
      </c>
      <c r="BP76" s="147">
        <f t="shared" si="180"/>
        <v>46.074017184783699</v>
      </c>
      <c r="BQ76" s="463">
        <f t="shared" si="164"/>
        <v>3.9503318214488284E-2</v>
      </c>
      <c r="BR76" s="463"/>
      <c r="BT76" s="147">
        <f t="shared" si="181"/>
        <v>39.503318214488282</v>
      </c>
      <c r="BU76" s="463">
        <f t="shared" si="165"/>
        <v>1.3172166812481775E-2</v>
      </c>
      <c r="BV76" s="463">
        <f t="shared" si="166"/>
        <v>1.2899907459074182E-2</v>
      </c>
      <c r="BW76" s="463">
        <f t="shared" si="167"/>
        <v>0</v>
      </c>
      <c r="BX76" s="463">
        <f t="shared" si="168"/>
        <v>2.9261756358951219E-2</v>
      </c>
      <c r="BY76" s="463">
        <f t="shared" si="169"/>
        <v>3.1555555555555559E-2</v>
      </c>
      <c r="BZ76" s="147">
        <f t="shared" si="182"/>
        <v>60.817311914506774</v>
      </c>
      <c r="CA76" s="153">
        <f t="shared" si="183"/>
        <v>0.14639464731377877</v>
      </c>
      <c r="CB76" s="5">
        <f t="shared" si="184"/>
        <v>1.42</v>
      </c>
      <c r="CC76" s="153">
        <f t="shared" si="185"/>
        <v>0.90654038076238841</v>
      </c>
      <c r="CD76" s="5">
        <f t="shared" si="186"/>
        <v>90.654038076238834</v>
      </c>
      <c r="CG76" s="59">
        <f t="shared" si="170"/>
        <v>-50</v>
      </c>
      <c r="CH76">
        <f t="shared" si="171"/>
        <v>-50</v>
      </c>
    </row>
    <row r="77" spans="5:86" x14ac:dyDescent="0.25">
      <c r="E77" s="150">
        <v>72</v>
      </c>
      <c r="F77" s="191">
        <f t="shared" si="172"/>
        <v>7.1999999999999995E-2</v>
      </c>
      <c r="G77" s="191"/>
      <c r="H77" s="191">
        <f t="shared" si="120"/>
        <v>1.44</v>
      </c>
      <c r="I77" s="472">
        <f t="shared" si="121"/>
        <v>20</v>
      </c>
      <c r="J77" s="152">
        <f t="shared" si="122"/>
        <v>20.32</v>
      </c>
      <c r="K77" s="386">
        <f t="shared" si="123"/>
        <v>40.32</v>
      </c>
      <c r="L77" s="386"/>
      <c r="M77" s="191">
        <f t="shared" si="124"/>
        <v>0.50396825396825395</v>
      </c>
      <c r="N77" s="152">
        <f t="shared" si="125"/>
        <v>3.4017857142857144</v>
      </c>
      <c r="O77" s="152">
        <f t="shared" si="173"/>
        <v>1.44</v>
      </c>
      <c r="P77" s="191">
        <f t="shared" si="126"/>
        <v>0.17008928571428572</v>
      </c>
      <c r="Q77" s="191">
        <f t="shared" si="127"/>
        <v>20</v>
      </c>
      <c r="R77" s="191">
        <f t="shared" si="128"/>
        <v>0.18898809523809523</v>
      </c>
      <c r="S77" s="152">
        <f t="shared" si="129"/>
        <v>73.836304193144954</v>
      </c>
      <c r="T77" s="152">
        <f t="shared" si="130"/>
        <v>20</v>
      </c>
      <c r="U77" s="191">
        <f t="shared" si="131"/>
        <v>0.31748031496062989</v>
      </c>
      <c r="V77" s="191">
        <f t="shared" si="132"/>
        <v>2.3811023622047238</v>
      </c>
      <c r="W77" s="191">
        <f t="shared" si="133"/>
        <v>2.3436046872093739</v>
      </c>
      <c r="X77" s="175">
        <f t="shared" si="134"/>
        <v>350</v>
      </c>
      <c r="Y77" s="386">
        <f t="shared" si="174"/>
        <v>211.65333417317547</v>
      </c>
      <c r="AA77" s="191">
        <f t="shared" si="135"/>
        <v>0.19198790627362058</v>
      </c>
      <c r="AB77" s="153">
        <f t="shared" si="136"/>
        <v>1.4172335600907029</v>
      </c>
      <c r="AC77" s="153">
        <f t="shared" si="137"/>
        <v>4.7616048182941621E-2</v>
      </c>
      <c r="AD77" s="153"/>
      <c r="AE77" s="153">
        <f t="shared" si="138"/>
        <v>1.1072834645669289</v>
      </c>
      <c r="AF77" s="317">
        <f t="shared" si="139"/>
        <v>866.98666666666668</v>
      </c>
      <c r="AG77" s="463">
        <f t="shared" si="140"/>
        <v>2.9066190944881887E-2</v>
      </c>
      <c r="AI77" s="153">
        <f t="shared" si="141"/>
        <v>0.24885260506496421</v>
      </c>
      <c r="AJ77" s="153">
        <f t="shared" si="142"/>
        <v>0.31748031496062989</v>
      </c>
      <c r="AK77" s="153">
        <f t="shared" si="143"/>
        <v>1.3116535433070866</v>
      </c>
      <c r="AM77" s="317">
        <f t="shared" si="144"/>
        <v>72</v>
      </c>
      <c r="AN77" s="147">
        <f t="shared" si="145"/>
        <v>211.65333417317547</v>
      </c>
      <c r="AP77">
        <f t="shared" si="146"/>
        <v>72</v>
      </c>
      <c r="AQ77">
        <f t="shared" si="147"/>
        <v>211.65333417317547</v>
      </c>
      <c r="AS77" s="5">
        <f t="shared" si="175"/>
        <v>4.7247070494140981</v>
      </c>
      <c r="AT77" s="5">
        <f t="shared" si="148"/>
        <v>2.3811023622047238</v>
      </c>
      <c r="AU77" s="5">
        <f t="shared" si="176"/>
        <v>2.3436046872093743</v>
      </c>
      <c r="AV77" s="5">
        <f t="shared" si="149"/>
        <v>2.3436046872093739</v>
      </c>
      <c r="AW77" s="153">
        <f t="shared" si="177"/>
        <v>0.50396825396825395</v>
      </c>
      <c r="AX77" s="153">
        <f t="shared" si="150"/>
        <v>1.5999999999999996</v>
      </c>
      <c r="AY77" s="153">
        <f t="shared" si="151"/>
        <v>7.874015748031496E-2</v>
      </c>
      <c r="AZ77" s="153">
        <f t="shared" si="178"/>
        <v>20.319999999999997</v>
      </c>
      <c r="BA77" s="147">
        <f t="shared" si="152"/>
        <v>5.9640482169430262</v>
      </c>
      <c r="BB77" s="147">
        <f t="shared" si="153"/>
        <v>9.1516193279999971</v>
      </c>
      <c r="BC77" s="5">
        <f t="shared" si="154"/>
        <v>0.18748837497674992</v>
      </c>
      <c r="BD77" s="147">
        <f t="shared" si="155"/>
        <v>18.988837497674993</v>
      </c>
      <c r="BE77" s="5"/>
      <c r="BF77" s="153">
        <f t="shared" si="179"/>
        <v>0.13012410792995635</v>
      </c>
      <c r="BG77" s="153">
        <f t="shared" si="156"/>
        <v>0.12909544272075085</v>
      </c>
      <c r="BH77" s="153"/>
      <c r="BI77" s="463">
        <f t="shared" si="157"/>
        <v>5.9262992125984253E-3</v>
      </c>
      <c r="BJ77" s="463">
        <f t="shared" si="158"/>
        <v>1.3546666666666667E-2</v>
      </c>
      <c r="BK77" s="463">
        <f t="shared" si="159"/>
        <v>2.6456666771646933E-3</v>
      </c>
      <c r="BL77" s="463">
        <f t="shared" si="160"/>
        <v>1.7204266666666669E-2</v>
      </c>
      <c r="BM77">
        <f t="shared" si="161"/>
        <v>5.7999999999999996E-3</v>
      </c>
      <c r="BN77">
        <f t="shared" si="162"/>
        <v>7.9370000314940796E-6</v>
      </c>
      <c r="BO77" s="463">
        <f t="shared" si="163"/>
        <v>4.5981162521305324E-2</v>
      </c>
      <c r="BP77" s="147">
        <f t="shared" si="180"/>
        <v>45.981162521305322</v>
      </c>
      <c r="BQ77" s="463">
        <f t="shared" si="164"/>
        <v>4.0236543865087737E-2</v>
      </c>
      <c r="BR77" s="463"/>
      <c r="BT77" s="147">
        <f t="shared" si="181"/>
        <v>40.236543865087739</v>
      </c>
      <c r="BU77" s="463">
        <f t="shared" si="165"/>
        <v>1.3545826771653544E-2</v>
      </c>
      <c r="BV77" s="463">
        <f t="shared" si="166"/>
        <v>1.3265844131688267E-2</v>
      </c>
      <c r="BW77" s="463">
        <f t="shared" si="167"/>
        <v>0</v>
      </c>
      <c r="BX77" s="463">
        <f t="shared" si="168"/>
        <v>3.0093620231096935E-2</v>
      </c>
      <c r="BY77" s="463">
        <f t="shared" si="169"/>
        <v>3.2000000000000001E-2</v>
      </c>
      <c r="BZ77" s="147">
        <f t="shared" si="182"/>
        <v>62.093620231096935</v>
      </c>
      <c r="CA77" s="153">
        <f t="shared" si="183"/>
        <v>0.14831132661749</v>
      </c>
      <c r="CB77" s="5">
        <f t="shared" si="184"/>
        <v>1.44</v>
      </c>
      <c r="CC77" s="153">
        <f t="shared" si="185"/>
        <v>0.90662326451241915</v>
      </c>
      <c r="CD77" s="5">
        <f t="shared" si="186"/>
        <v>90.66232645124191</v>
      </c>
      <c r="CG77" s="59">
        <f t="shared" si="170"/>
        <v>-50</v>
      </c>
      <c r="CH77">
        <f t="shared" si="171"/>
        <v>-50</v>
      </c>
    </row>
    <row r="78" spans="5:86" x14ac:dyDescent="0.25">
      <c r="E78" s="150">
        <v>73</v>
      </c>
      <c r="F78" s="191">
        <f t="shared" si="172"/>
        <v>7.2999999999999995E-2</v>
      </c>
      <c r="G78" s="191"/>
      <c r="H78" s="191">
        <f t="shared" si="120"/>
        <v>1.46</v>
      </c>
      <c r="I78" s="472">
        <f t="shared" si="121"/>
        <v>20</v>
      </c>
      <c r="J78" s="152">
        <f t="shared" si="122"/>
        <v>20.32</v>
      </c>
      <c r="K78" s="386">
        <f t="shared" si="123"/>
        <v>40.32</v>
      </c>
      <c r="L78" s="386"/>
      <c r="M78" s="191">
        <f t="shared" si="124"/>
        <v>0.50396825396825395</v>
      </c>
      <c r="N78" s="152">
        <f t="shared" si="125"/>
        <v>3.4017857142857144</v>
      </c>
      <c r="O78" s="152">
        <f t="shared" si="173"/>
        <v>1.46</v>
      </c>
      <c r="P78" s="191">
        <f t="shared" si="126"/>
        <v>0.17008928571428572</v>
      </c>
      <c r="Q78" s="191">
        <f t="shared" si="127"/>
        <v>20</v>
      </c>
      <c r="R78" s="191">
        <f t="shared" si="128"/>
        <v>0.18898809523809523</v>
      </c>
      <c r="S78" s="152">
        <f t="shared" si="129"/>
        <v>72.553576752195909</v>
      </c>
      <c r="T78" s="152">
        <f t="shared" si="130"/>
        <v>20</v>
      </c>
      <c r="U78" s="191">
        <f t="shared" si="131"/>
        <v>0.32188976377952755</v>
      </c>
      <c r="V78" s="191">
        <f t="shared" si="132"/>
        <v>2.4141732283464563</v>
      </c>
      <c r="W78" s="191">
        <f t="shared" si="133"/>
        <v>2.3761547523095041</v>
      </c>
      <c r="X78" s="175">
        <f t="shared" si="134"/>
        <v>350</v>
      </c>
      <c r="Y78" s="386">
        <f t="shared" si="174"/>
        <v>208.75397343107718</v>
      </c>
      <c r="AA78" s="191">
        <f t="shared" si="135"/>
        <v>0.19198790627362058</v>
      </c>
      <c r="AB78" s="153">
        <f t="shared" si="136"/>
        <v>1.4172335600907029</v>
      </c>
      <c r="AC78" s="153">
        <f t="shared" si="137"/>
        <v>4.7616048182941621E-2</v>
      </c>
      <c r="AD78" s="153"/>
      <c r="AE78" s="153">
        <f t="shared" si="138"/>
        <v>1.1072834645669289</v>
      </c>
      <c r="AF78" s="317">
        <f t="shared" si="139"/>
        <v>879.02814814814815</v>
      </c>
      <c r="AG78" s="463">
        <f t="shared" si="140"/>
        <v>2.9066190944881887E-2</v>
      </c>
      <c r="AI78" s="153">
        <f t="shared" si="141"/>
        <v>0.25057478897072799</v>
      </c>
      <c r="AJ78" s="153">
        <f t="shared" si="142"/>
        <v>0.32188976377952755</v>
      </c>
      <c r="AK78" s="153">
        <f t="shared" si="143"/>
        <v>1.3145931758530183</v>
      </c>
      <c r="AM78" s="317">
        <f t="shared" si="144"/>
        <v>73</v>
      </c>
      <c r="AN78" s="147">
        <f t="shared" si="145"/>
        <v>208.75397343107718</v>
      </c>
      <c r="AP78">
        <f t="shared" si="146"/>
        <v>73</v>
      </c>
      <c r="AQ78">
        <f t="shared" si="147"/>
        <v>208.75397343107718</v>
      </c>
      <c r="AS78" s="5">
        <f t="shared" si="175"/>
        <v>4.7903279806559604</v>
      </c>
      <c r="AT78" s="5">
        <f t="shared" si="148"/>
        <v>2.4141732283464563</v>
      </c>
      <c r="AU78" s="5">
        <f t="shared" si="176"/>
        <v>2.3761547523095041</v>
      </c>
      <c r="AV78" s="5">
        <f t="shared" si="149"/>
        <v>2.3761547523095041</v>
      </c>
      <c r="AW78" s="153">
        <f t="shared" si="177"/>
        <v>0.50396825396825395</v>
      </c>
      <c r="AX78" s="153">
        <f t="shared" si="150"/>
        <v>1.6222222222222225</v>
      </c>
      <c r="AY78" s="153">
        <f t="shared" si="151"/>
        <v>7.9833770778652668E-2</v>
      </c>
      <c r="AZ78" s="153">
        <f t="shared" si="178"/>
        <v>20.320000000000004</v>
      </c>
      <c r="BA78" s="147">
        <f t="shared" si="152"/>
        <v>5.9640482169430262</v>
      </c>
      <c r="BB78" s="147">
        <f t="shared" si="153"/>
        <v>9.4045546679999976</v>
      </c>
      <c r="BC78" s="5">
        <f t="shared" si="154"/>
        <v>0.19273255213177087</v>
      </c>
      <c r="BD78" s="147">
        <f t="shared" si="155"/>
        <v>19.516588546510423</v>
      </c>
      <c r="BE78" s="5"/>
      <c r="BF78" s="153">
        <f t="shared" si="179"/>
        <v>0.13193138720676131</v>
      </c>
      <c r="BG78" s="153">
        <f t="shared" si="156"/>
        <v>0.13088843498076128</v>
      </c>
      <c r="BH78" s="153"/>
      <c r="BI78" s="463">
        <f t="shared" si="157"/>
        <v>6.092061825605133E-3</v>
      </c>
      <c r="BJ78" s="463">
        <f t="shared" si="158"/>
        <v>1.354666666666667E-2</v>
      </c>
      <c r="BK78" s="463">
        <f t="shared" si="159"/>
        <v>2.609424667888465E-3</v>
      </c>
      <c r="BL78" s="463">
        <f t="shared" si="160"/>
        <v>1.6968591780821923E-2</v>
      </c>
      <c r="BM78">
        <f t="shared" si="161"/>
        <v>5.7999999999999996E-3</v>
      </c>
      <c r="BN78">
        <f t="shared" si="162"/>
        <v>7.8282740036653943E-6</v>
      </c>
      <c r="BO78" s="463">
        <f t="shared" si="163"/>
        <v>4.5898590907816728E-2</v>
      </c>
      <c r="BP78" s="147">
        <f t="shared" si="180"/>
        <v>45.898590907816725</v>
      </c>
      <c r="BQ78" s="463">
        <f t="shared" si="164"/>
        <v>4.0974681762548718E-2</v>
      </c>
      <c r="BR78" s="463"/>
      <c r="BT78" s="147">
        <f t="shared" si="181"/>
        <v>40.97468176254872</v>
      </c>
      <c r="BU78" s="463">
        <f t="shared" si="165"/>
        <v>1.3924712744240307E-2</v>
      </c>
      <c r="BV78" s="463">
        <f t="shared" si="166"/>
        <v>1.3636898799723525E-2</v>
      </c>
      <c r="BW78" s="463">
        <f t="shared" si="167"/>
        <v>0</v>
      </c>
      <c r="BX78" s="463">
        <f t="shared" si="168"/>
        <v>3.0937219298884797E-2</v>
      </c>
      <c r="BY78" s="463">
        <f t="shared" si="169"/>
        <v>3.2444444444444449E-2</v>
      </c>
      <c r="BZ78" s="147">
        <f t="shared" si="182"/>
        <v>63.381663743329248</v>
      </c>
      <c r="CA78" s="153">
        <f t="shared" si="183"/>
        <v>0.1502549364136947</v>
      </c>
      <c r="CB78" s="5">
        <f t="shared" si="184"/>
        <v>1.46</v>
      </c>
      <c r="CC78" s="153">
        <f t="shared" si="185"/>
        <v>0.90668872796730104</v>
      </c>
      <c r="CD78" s="5">
        <f t="shared" si="186"/>
        <v>90.668872796730099</v>
      </c>
      <c r="CG78" s="59">
        <f t="shared" si="170"/>
        <v>-50</v>
      </c>
      <c r="CH78">
        <f t="shared" si="171"/>
        <v>-50</v>
      </c>
    </row>
    <row r="79" spans="5:86" x14ac:dyDescent="0.25">
      <c r="E79" s="150">
        <v>74</v>
      </c>
      <c r="F79" s="191">
        <f t="shared" si="172"/>
        <v>7.3999999999999996E-2</v>
      </c>
      <c r="G79" s="191"/>
      <c r="H79" s="191">
        <f t="shared" si="120"/>
        <v>1.48</v>
      </c>
      <c r="I79" s="472">
        <f t="shared" si="121"/>
        <v>20</v>
      </c>
      <c r="J79" s="152">
        <f t="shared" si="122"/>
        <v>20.32</v>
      </c>
      <c r="K79" s="386">
        <f t="shared" si="123"/>
        <v>40.32</v>
      </c>
      <c r="L79" s="386"/>
      <c r="M79" s="191">
        <f t="shared" si="124"/>
        <v>0.50396825396825395</v>
      </c>
      <c r="N79" s="152">
        <f t="shared" si="125"/>
        <v>3.4017857142857144</v>
      </c>
      <c r="O79" s="152">
        <f t="shared" si="173"/>
        <v>1.48</v>
      </c>
      <c r="P79" s="191">
        <f t="shared" si="126"/>
        <v>0.17008928571428572</v>
      </c>
      <c r="Q79" s="191">
        <f t="shared" si="127"/>
        <v>20</v>
      </c>
      <c r="R79" s="191">
        <f t="shared" si="128"/>
        <v>0.18898809523809523</v>
      </c>
      <c r="S79" s="152">
        <f t="shared" si="129"/>
        <v>71.30556978114501</v>
      </c>
      <c r="T79" s="152">
        <f t="shared" si="130"/>
        <v>20</v>
      </c>
      <c r="U79" s="191">
        <f t="shared" si="131"/>
        <v>0.3262992125984252</v>
      </c>
      <c r="V79" s="191">
        <f t="shared" si="132"/>
        <v>2.4472440944881888</v>
      </c>
      <c r="W79" s="191">
        <f t="shared" si="133"/>
        <v>2.4087048174096344</v>
      </c>
      <c r="X79" s="175">
        <f t="shared" si="134"/>
        <v>350</v>
      </c>
      <c r="Y79" s="386">
        <f t="shared" si="174"/>
        <v>205.93297379011668</v>
      </c>
      <c r="AA79" s="191">
        <f t="shared" si="135"/>
        <v>0.19198790627362058</v>
      </c>
      <c r="AB79" s="153">
        <f t="shared" si="136"/>
        <v>1.4172335600907029</v>
      </c>
      <c r="AC79" s="153">
        <f t="shared" si="137"/>
        <v>4.7616048182941621E-2</v>
      </c>
      <c r="AD79" s="153"/>
      <c r="AE79" s="153">
        <f t="shared" si="138"/>
        <v>1.1072834645669289</v>
      </c>
      <c r="AF79" s="317">
        <f t="shared" si="139"/>
        <v>891.06962962962962</v>
      </c>
      <c r="AG79" s="463">
        <f t="shared" si="140"/>
        <v>2.9066190944881887E-2</v>
      </c>
      <c r="AI79" s="153">
        <f t="shared" si="141"/>
        <v>0.25228521694271089</v>
      </c>
      <c r="AJ79" s="153">
        <f t="shared" si="142"/>
        <v>0.3262992125984252</v>
      </c>
      <c r="AK79" s="153">
        <f t="shared" si="143"/>
        <v>1.3175328083989502</v>
      </c>
      <c r="AM79" s="317">
        <f t="shared" si="144"/>
        <v>74</v>
      </c>
      <c r="AN79" s="147">
        <f t="shared" si="145"/>
        <v>205.93297379011668</v>
      </c>
      <c r="AP79">
        <f t="shared" si="146"/>
        <v>74</v>
      </c>
      <c r="AQ79">
        <f t="shared" si="147"/>
        <v>205.93297379011668</v>
      </c>
      <c r="AS79" s="5">
        <f t="shared" si="175"/>
        <v>4.8559489118978236</v>
      </c>
      <c r="AT79" s="5">
        <f t="shared" si="148"/>
        <v>2.4472440944881888</v>
      </c>
      <c r="AU79" s="5">
        <f t="shared" si="176"/>
        <v>2.4087048174096348</v>
      </c>
      <c r="AV79" s="5">
        <f t="shared" si="149"/>
        <v>2.4087048174096344</v>
      </c>
      <c r="AW79" s="153">
        <f t="shared" si="177"/>
        <v>0.50396825396825395</v>
      </c>
      <c r="AX79" s="153">
        <f t="shared" si="150"/>
        <v>1.6444444444444444</v>
      </c>
      <c r="AY79" s="153">
        <f t="shared" si="151"/>
        <v>8.0927384076990377E-2</v>
      </c>
      <c r="AZ79" s="153">
        <f t="shared" si="178"/>
        <v>20.32</v>
      </c>
      <c r="BA79" s="147">
        <f t="shared" si="152"/>
        <v>5.9640482169430262</v>
      </c>
      <c r="BB79" s="147">
        <f t="shared" si="153"/>
        <v>9.6609373919999975</v>
      </c>
      <c r="BC79" s="5">
        <f t="shared" si="154"/>
        <v>0.1980490627647922</v>
      </c>
      <c r="BD79" s="147">
        <f t="shared" si="155"/>
        <v>20.051572943145885</v>
      </c>
      <c r="BE79" s="5"/>
      <c r="BF79" s="153">
        <f t="shared" si="179"/>
        <v>0.13373866648356625</v>
      </c>
      <c r="BG79" s="153">
        <f t="shared" si="156"/>
        <v>0.13268142724077173</v>
      </c>
      <c r="BH79" s="153"/>
      <c r="BI79" s="463">
        <f t="shared" si="157"/>
        <v>6.2601108194808982E-3</v>
      </c>
      <c r="BJ79" s="463">
        <f t="shared" si="158"/>
        <v>1.354666666666667E-2</v>
      </c>
      <c r="BK79" s="463">
        <f t="shared" si="159"/>
        <v>2.5741621723764582E-3</v>
      </c>
      <c r="BL79" s="463">
        <f t="shared" si="160"/>
        <v>1.6739286486486493E-2</v>
      </c>
      <c r="BM79">
        <f t="shared" si="161"/>
        <v>5.7999999999999996E-3</v>
      </c>
      <c r="BN79">
        <f t="shared" si="162"/>
        <v>7.7224865171293753E-6</v>
      </c>
      <c r="BO79" s="463">
        <f t="shared" si="163"/>
        <v>4.5825992175307431E-2</v>
      </c>
      <c r="BP79" s="147">
        <f t="shared" si="180"/>
        <v>45.825992175307434</v>
      </c>
      <c r="BQ79" s="463">
        <f t="shared" si="164"/>
        <v>4.1717731906871232E-2</v>
      </c>
      <c r="BR79" s="463"/>
      <c r="BT79" s="147">
        <f t="shared" si="181"/>
        <v>41.717731906871229</v>
      </c>
      <c r="BU79" s="463">
        <f t="shared" si="165"/>
        <v>1.4308824730242054E-2</v>
      </c>
      <c r="BV79" s="463">
        <f t="shared" si="166"/>
        <v>1.4013071463179969E-2</v>
      </c>
      <c r="BW79" s="463">
        <f t="shared" si="167"/>
        <v>0</v>
      </c>
      <c r="BX79" s="463">
        <f t="shared" si="168"/>
        <v>3.1792557778322343E-2</v>
      </c>
      <c r="BY79" s="463">
        <f t="shared" si="169"/>
        <v>3.2888888888888891E-2</v>
      </c>
      <c r="BZ79" s="147">
        <f t="shared" si="182"/>
        <v>64.681446667211233</v>
      </c>
      <c r="CA79" s="153">
        <f t="shared" si="183"/>
        <v>0.1522251707493899</v>
      </c>
      <c r="CB79" s="5">
        <f t="shared" si="184"/>
        <v>1.48</v>
      </c>
      <c r="CC79" s="153">
        <f t="shared" si="185"/>
        <v>0.90673764044485361</v>
      </c>
      <c r="CD79" s="5">
        <f t="shared" si="186"/>
        <v>90.673764044485367</v>
      </c>
      <c r="CG79" s="59">
        <f t="shared" si="170"/>
        <v>-50</v>
      </c>
      <c r="CH79">
        <f t="shared" si="171"/>
        <v>-50</v>
      </c>
    </row>
    <row r="80" spans="5:86" x14ac:dyDescent="0.25">
      <c r="E80" s="150">
        <v>75</v>
      </c>
      <c r="F80" s="191">
        <f t="shared" si="172"/>
        <v>7.5000000000000011E-2</v>
      </c>
      <c r="G80" s="191"/>
      <c r="H80" s="191">
        <f t="shared" si="120"/>
        <v>1.5000000000000002</v>
      </c>
      <c r="I80" s="472">
        <f t="shared" si="121"/>
        <v>20</v>
      </c>
      <c r="J80" s="152">
        <f t="shared" si="122"/>
        <v>20.32</v>
      </c>
      <c r="K80" s="386">
        <f t="shared" si="123"/>
        <v>40.32</v>
      </c>
      <c r="L80" s="386"/>
      <c r="M80" s="191">
        <f t="shared" si="124"/>
        <v>0.50396825396825395</v>
      </c>
      <c r="N80" s="152">
        <f t="shared" si="125"/>
        <v>3.4017857142857144</v>
      </c>
      <c r="O80" s="152">
        <f t="shared" si="173"/>
        <v>1.5000000000000002</v>
      </c>
      <c r="P80" s="191">
        <f t="shared" si="126"/>
        <v>0.17008928571428572</v>
      </c>
      <c r="Q80" s="191">
        <f t="shared" si="127"/>
        <v>20</v>
      </c>
      <c r="R80" s="191">
        <f t="shared" si="128"/>
        <v>0.18898809523809523</v>
      </c>
      <c r="S80" s="152">
        <f t="shared" si="129"/>
        <v>70.090895024098316</v>
      </c>
      <c r="T80" s="152">
        <f t="shared" si="130"/>
        <v>20</v>
      </c>
      <c r="U80" s="191">
        <f t="shared" si="131"/>
        <v>0.33070866141732291</v>
      </c>
      <c r="V80" s="191">
        <f t="shared" si="132"/>
        <v>2.4803149606299213</v>
      </c>
      <c r="W80" s="191">
        <f t="shared" si="133"/>
        <v>2.4412548825097651</v>
      </c>
      <c r="X80" s="175">
        <f t="shared" si="134"/>
        <v>350</v>
      </c>
      <c r="Y80" s="386">
        <f t="shared" si="174"/>
        <v>203.18720080624846</v>
      </c>
      <c r="AA80" s="191">
        <f t="shared" si="135"/>
        <v>0.19198790627362058</v>
      </c>
      <c r="AB80" s="153">
        <f t="shared" si="136"/>
        <v>1.4172335600907029</v>
      </c>
      <c r="AC80" s="153">
        <f t="shared" si="137"/>
        <v>4.7616048182941621E-2</v>
      </c>
      <c r="AD80" s="153"/>
      <c r="AE80" s="153">
        <f t="shared" si="138"/>
        <v>1.1072834645669289</v>
      </c>
      <c r="AF80" s="317">
        <f t="shared" si="139"/>
        <v>903.11111111111131</v>
      </c>
      <c r="AG80" s="463">
        <f t="shared" si="140"/>
        <v>2.9066190944881887E-2</v>
      </c>
      <c r="AI80" s="153">
        <f t="shared" si="141"/>
        <v>0.25398412648812629</v>
      </c>
      <c r="AJ80" s="153">
        <f t="shared" si="142"/>
        <v>0.33070866141732291</v>
      </c>
      <c r="AK80" s="153">
        <f t="shared" si="143"/>
        <v>1.3204724409448818</v>
      </c>
      <c r="AM80" s="317">
        <f t="shared" si="144"/>
        <v>75.000000000000014</v>
      </c>
      <c r="AN80" s="147">
        <f t="shared" si="145"/>
        <v>203.18720080624846</v>
      </c>
      <c r="AP80">
        <f t="shared" si="146"/>
        <v>75.000000000000014</v>
      </c>
      <c r="AQ80">
        <f t="shared" si="147"/>
        <v>203.18720080624846</v>
      </c>
      <c r="AS80" s="5">
        <f t="shared" si="175"/>
        <v>4.921569843139685</v>
      </c>
      <c r="AT80" s="5">
        <f t="shared" si="148"/>
        <v>2.4803149606299213</v>
      </c>
      <c r="AU80" s="5">
        <f t="shared" si="176"/>
        <v>2.4412548825097637</v>
      </c>
      <c r="AV80" s="5">
        <f t="shared" si="149"/>
        <v>2.4412548825097651</v>
      </c>
      <c r="AW80" s="153">
        <f t="shared" si="177"/>
        <v>0.50396825396825407</v>
      </c>
      <c r="AX80" s="153">
        <f t="shared" si="150"/>
        <v>1.6666666666666676</v>
      </c>
      <c r="AY80" s="153">
        <f t="shared" si="151"/>
        <v>8.2020997375328086E-2</v>
      </c>
      <c r="AZ80" s="153">
        <f t="shared" si="178"/>
        <v>20.320000000000011</v>
      </c>
      <c r="BA80" s="147">
        <f t="shared" si="152"/>
        <v>5.9640482169430262</v>
      </c>
      <c r="BB80" s="147">
        <f t="shared" si="153"/>
        <v>9.920767500000002</v>
      </c>
      <c r="BC80" s="5">
        <f t="shared" si="154"/>
        <v>0.20343790687581367</v>
      </c>
      <c r="BD80" s="147">
        <f t="shared" si="155"/>
        <v>20.593790687581368</v>
      </c>
      <c r="BE80" s="5"/>
      <c r="BF80" s="153">
        <f t="shared" si="179"/>
        <v>0.13554594576037124</v>
      </c>
      <c r="BG80" s="153">
        <f t="shared" si="156"/>
        <v>0.13447441950078215</v>
      </c>
      <c r="BH80" s="153"/>
      <c r="BI80" s="463">
        <f t="shared" si="157"/>
        <v>6.4304461942257252E-3</v>
      </c>
      <c r="BJ80" s="463">
        <f t="shared" si="158"/>
        <v>1.3546666666666672E-2</v>
      </c>
      <c r="BK80" s="463">
        <f t="shared" si="159"/>
        <v>2.5398400100781057E-3</v>
      </c>
      <c r="BL80" s="463">
        <f t="shared" si="160"/>
        <v>1.6516096000000004E-2</v>
      </c>
      <c r="BM80">
        <f t="shared" si="161"/>
        <v>5.7999999999999996E-3</v>
      </c>
      <c r="BN80">
        <f t="shared" si="162"/>
        <v>7.6195200302343169E-6</v>
      </c>
      <c r="BO80" s="463">
        <f t="shared" si="163"/>
        <v>4.5763072729453576E-2</v>
      </c>
      <c r="BP80" s="147">
        <f t="shared" si="180"/>
        <v>45.763072729453576</v>
      </c>
      <c r="BQ80" s="463">
        <f t="shared" si="164"/>
        <v>4.2465694298055273E-2</v>
      </c>
      <c r="BR80" s="463"/>
      <c r="BT80" s="147">
        <f t="shared" si="181"/>
        <v>42.465694298055276</v>
      </c>
      <c r="BU80" s="463">
        <f t="shared" si="165"/>
        <v>1.4698162729658801E-2</v>
      </c>
      <c r="BV80" s="463">
        <f t="shared" si="166"/>
        <v>1.4394362122057584E-2</v>
      </c>
      <c r="BW80" s="463">
        <f t="shared" si="167"/>
        <v>0</v>
      </c>
      <c r="BX80" s="463">
        <f t="shared" si="168"/>
        <v>3.265963994486188E-2</v>
      </c>
      <c r="BY80" s="463">
        <f t="shared" si="169"/>
        <v>3.3333333333333354E-2</v>
      </c>
      <c r="BZ80" s="147">
        <f t="shared" si="182"/>
        <v>65.992973278195223</v>
      </c>
      <c r="CA80" s="153">
        <f t="shared" si="183"/>
        <v>0.15422174030570407</v>
      </c>
      <c r="CB80" s="5">
        <f t="shared" si="184"/>
        <v>1.5000000000000002</v>
      </c>
      <c r="CC80" s="153">
        <f t="shared" si="185"/>
        <v>0.90677081763101275</v>
      </c>
      <c r="CD80" s="5">
        <f t="shared" si="186"/>
        <v>90.67708176310127</v>
      </c>
      <c r="CG80" s="59">
        <f t="shared" si="170"/>
        <v>-50</v>
      </c>
      <c r="CH80">
        <f t="shared" si="171"/>
        <v>-50</v>
      </c>
    </row>
    <row r="81" spans="5:86" x14ac:dyDescent="0.25">
      <c r="E81" s="150">
        <v>76</v>
      </c>
      <c r="F81" s="191">
        <f t="shared" si="172"/>
        <v>7.6000000000000012E-2</v>
      </c>
      <c r="G81" s="191"/>
      <c r="H81" s="191">
        <f t="shared" si="120"/>
        <v>1.5200000000000002</v>
      </c>
      <c r="I81" s="472">
        <f t="shared" si="121"/>
        <v>20</v>
      </c>
      <c r="J81" s="152">
        <f t="shared" si="122"/>
        <v>20.32</v>
      </c>
      <c r="K81" s="386">
        <f t="shared" si="123"/>
        <v>40.32</v>
      </c>
      <c r="L81" s="386"/>
      <c r="M81" s="191">
        <f t="shared" si="124"/>
        <v>0.50396825396825395</v>
      </c>
      <c r="N81" s="152">
        <f t="shared" si="125"/>
        <v>3.4017857142857144</v>
      </c>
      <c r="O81" s="152">
        <f t="shared" si="173"/>
        <v>1.5200000000000002</v>
      </c>
      <c r="P81" s="191">
        <f t="shared" si="126"/>
        <v>0.17008928571428572</v>
      </c>
      <c r="Q81" s="191">
        <f t="shared" si="127"/>
        <v>20</v>
      </c>
      <c r="R81" s="191">
        <f t="shared" si="128"/>
        <v>0.18898809523809523</v>
      </c>
      <c r="S81" s="152">
        <f t="shared" si="129"/>
        <v>68.908237299162451</v>
      </c>
      <c r="T81" s="152">
        <f t="shared" si="130"/>
        <v>20</v>
      </c>
      <c r="U81" s="191">
        <f t="shared" si="131"/>
        <v>0.33511811023622051</v>
      </c>
      <c r="V81" s="191">
        <f t="shared" si="132"/>
        <v>2.5133858267716533</v>
      </c>
      <c r="W81" s="191">
        <f t="shared" si="133"/>
        <v>2.4738049476098953</v>
      </c>
      <c r="X81" s="175">
        <f t="shared" si="134"/>
        <v>350</v>
      </c>
      <c r="Y81" s="386">
        <f t="shared" si="174"/>
        <v>200.51368500616621</v>
      </c>
      <c r="AA81" s="191">
        <f t="shared" si="135"/>
        <v>0.19198790627362058</v>
      </c>
      <c r="AB81" s="153">
        <f t="shared" si="136"/>
        <v>1.4172335600907029</v>
      </c>
      <c r="AC81" s="153">
        <f t="shared" si="137"/>
        <v>4.7616048182941621E-2</v>
      </c>
      <c r="AD81" s="153"/>
      <c r="AE81" s="153">
        <f t="shared" si="138"/>
        <v>1.1072834645669289</v>
      </c>
      <c r="AF81" s="317">
        <f t="shared" si="139"/>
        <v>915.15259259259278</v>
      </c>
      <c r="AG81" s="463">
        <f t="shared" si="140"/>
        <v>2.9066190944881887E-2</v>
      </c>
      <c r="AI81" s="153">
        <f t="shared" si="141"/>
        <v>0.25567174722296232</v>
      </c>
      <c r="AJ81" s="153">
        <f t="shared" si="142"/>
        <v>0.33511811023622051</v>
      </c>
      <c r="AK81" s="153">
        <f t="shared" si="143"/>
        <v>1.3234120734908137</v>
      </c>
      <c r="AM81" s="317">
        <f t="shared" si="144"/>
        <v>76.000000000000014</v>
      </c>
      <c r="AN81" s="147">
        <f t="shared" si="145"/>
        <v>200.51368500616621</v>
      </c>
      <c r="AP81">
        <f t="shared" si="146"/>
        <v>76.000000000000014</v>
      </c>
      <c r="AQ81">
        <f t="shared" si="147"/>
        <v>200.51368500616621</v>
      </c>
      <c r="AS81" s="5">
        <f t="shared" si="175"/>
        <v>4.9871907743815482</v>
      </c>
      <c r="AT81" s="5">
        <f t="shared" si="148"/>
        <v>2.5133858267716533</v>
      </c>
      <c r="AU81" s="5">
        <f t="shared" si="176"/>
        <v>2.4738049476098949</v>
      </c>
      <c r="AV81" s="5">
        <f t="shared" si="149"/>
        <v>2.4738049476098953</v>
      </c>
      <c r="AW81" s="153">
        <f t="shared" si="177"/>
        <v>0.50396825396825395</v>
      </c>
      <c r="AX81" s="153">
        <f t="shared" si="150"/>
        <v>1.6888888888888893</v>
      </c>
      <c r="AY81" s="153">
        <f t="shared" si="151"/>
        <v>8.3114610673665809E-2</v>
      </c>
      <c r="AZ81" s="153">
        <f t="shared" si="178"/>
        <v>20.32</v>
      </c>
      <c r="BA81" s="147">
        <f t="shared" si="152"/>
        <v>5.9640482169430262</v>
      </c>
      <c r="BB81" s="147">
        <f t="shared" si="153"/>
        <v>10.184044992</v>
      </c>
      <c r="BC81" s="5">
        <f t="shared" si="154"/>
        <v>0.2088990844648356</v>
      </c>
      <c r="BD81" s="147">
        <f t="shared" si="155"/>
        <v>21.143241779816893</v>
      </c>
      <c r="BE81" s="5"/>
      <c r="BF81" s="153">
        <f t="shared" si="179"/>
        <v>0.13735322503717617</v>
      </c>
      <c r="BG81" s="153">
        <f t="shared" si="156"/>
        <v>0.13626741176079257</v>
      </c>
      <c r="BH81" s="153"/>
      <c r="BI81" s="463">
        <f t="shared" si="157"/>
        <v>6.6030679498396061E-3</v>
      </c>
      <c r="BJ81" s="463">
        <f t="shared" si="158"/>
        <v>1.3546666666666667E-2</v>
      </c>
      <c r="BK81" s="463">
        <f t="shared" si="159"/>
        <v>2.5064210625770772E-3</v>
      </c>
      <c r="BL81" s="463">
        <f t="shared" si="160"/>
        <v>1.6298778947368427E-2</v>
      </c>
      <c r="BM81">
        <f t="shared" si="161"/>
        <v>5.7999999999999996E-3</v>
      </c>
      <c r="BN81">
        <f t="shared" si="162"/>
        <v>7.5192631877312322E-6</v>
      </c>
      <c r="BO81" s="463">
        <f t="shared" si="163"/>
        <v>4.5709554460621991E-2</v>
      </c>
      <c r="BP81" s="147">
        <f t="shared" si="180"/>
        <v>45.709554460621995</v>
      </c>
      <c r="BQ81" s="463">
        <f t="shared" si="164"/>
        <v>4.3218568936100842E-2</v>
      </c>
      <c r="BR81" s="463"/>
      <c r="BT81" s="147">
        <f t="shared" si="181"/>
        <v>43.218568936100844</v>
      </c>
      <c r="BU81" s="463">
        <f t="shared" si="165"/>
        <v>1.5092726742490528E-2</v>
      </c>
      <c r="BV81" s="463">
        <f t="shared" si="166"/>
        <v>1.478077077635637E-2</v>
      </c>
      <c r="BW81" s="463">
        <f t="shared" si="167"/>
        <v>0</v>
      </c>
      <c r="BX81" s="463">
        <f t="shared" si="168"/>
        <v>3.3538470133453943E-2</v>
      </c>
      <c r="BY81" s="463">
        <f t="shared" si="169"/>
        <v>3.3777777777777789E-2</v>
      </c>
      <c r="BZ81" s="147">
        <f t="shared" si="182"/>
        <v>67.316247911231727</v>
      </c>
      <c r="CA81" s="153">
        <f t="shared" si="183"/>
        <v>0.15624437130795457</v>
      </c>
      <c r="CB81" s="5">
        <f t="shared" si="184"/>
        <v>1.5200000000000002</v>
      </c>
      <c r="CC81" s="153">
        <f t="shared" si="185"/>
        <v>0.90678902552493645</v>
      </c>
      <c r="CD81" s="5">
        <f t="shared" si="186"/>
        <v>90.678902552493639</v>
      </c>
      <c r="CG81" s="59">
        <f t="shared" si="170"/>
        <v>-50</v>
      </c>
      <c r="CH81">
        <f t="shared" si="171"/>
        <v>-50</v>
      </c>
    </row>
    <row r="82" spans="5:86" x14ac:dyDescent="0.25">
      <c r="E82" s="150">
        <v>77</v>
      </c>
      <c r="F82" s="191">
        <f t="shared" si="172"/>
        <v>7.7000000000000013E-2</v>
      </c>
      <c r="G82" s="191"/>
      <c r="H82" s="191">
        <f t="shared" si="120"/>
        <v>1.5400000000000003</v>
      </c>
      <c r="I82" s="472">
        <f t="shared" si="121"/>
        <v>20</v>
      </c>
      <c r="J82" s="152">
        <f t="shared" si="122"/>
        <v>20.32</v>
      </c>
      <c r="K82" s="386">
        <f t="shared" si="123"/>
        <v>40.32</v>
      </c>
      <c r="L82" s="386"/>
      <c r="M82" s="191">
        <f t="shared" si="124"/>
        <v>0.50396825396825395</v>
      </c>
      <c r="N82" s="152">
        <f t="shared" si="125"/>
        <v>3.4017857142857144</v>
      </c>
      <c r="O82" s="152">
        <f t="shared" si="173"/>
        <v>1.5400000000000003</v>
      </c>
      <c r="P82" s="191">
        <f t="shared" si="126"/>
        <v>0.17008928571428572</v>
      </c>
      <c r="Q82" s="191">
        <f t="shared" si="127"/>
        <v>20</v>
      </c>
      <c r="R82" s="191">
        <f t="shared" si="128"/>
        <v>0.18898809523809523</v>
      </c>
      <c r="S82" s="152">
        <f t="shared" si="129"/>
        <v>67.756349753514286</v>
      </c>
      <c r="T82" s="152">
        <f t="shared" si="130"/>
        <v>20</v>
      </c>
      <c r="U82" s="191">
        <f t="shared" si="131"/>
        <v>0.33952755905511817</v>
      </c>
      <c r="V82" s="191">
        <f t="shared" si="132"/>
        <v>2.5464566929133858</v>
      </c>
      <c r="W82" s="191">
        <f t="shared" si="133"/>
        <v>2.5063550127100256</v>
      </c>
      <c r="X82" s="175">
        <f t="shared" si="134"/>
        <v>350</v>
      </c>
      <c r="Y82" s="386">
        <f t="shared" si="174"/>
        <v>197.9096111749173</v>
      </c>
      <c r="AA82" s="191">
        <f t="shared" si="135"/>
        <v>0.19198790627362058</v>
      </c>
      <c r="AB82" s="153">
        <f t="shared" si="136"/>
        <v>1.4172335600907029</v>
      </c>
      <c r="AC82" s="153">
        <f t="shared" si="137"/>
        <v>4.7616048182941621E-2</v>
      </c>
      <c r="AD82" s="153"/>
      <c r="AE82" s="153">
        <f t="shared" si="138"/>
        <v>1.1072834645669289</v>
      </c>
      <c r="AF82" s="317">
        <f t="shared" si="139"/>
        <v>927.19407407407425</v>
      </c>
      <c r="AG82" s="463">
        <f t="shared" si="140"/>
        <v>2.9066190944881887E-2</v>
      </c>
      <c r="AI82" s="153">
        <f t="shared" si="141"/>
        <v>0.25734830123423813</v>
      </c>
      <c r="AJ82" s="153">
        <f t="shared" si="142"/>
        <v>0.33952755905511817</v>
      </c>
      <c r="AK82" s="153">
        <f t="shared" si="143"/>
        <v>1.3263517060367453</v>
      </c>
      <c r="AM82" s="317">
        <f t="shared" si="144"/>
        <v>77.000000000000014</v>
      </c>
      <c r="AN82" s="147">
        <f t="shared" si="145"/>
        <v>197.9096111749173</v>
      </c>
      <c r="AP82">
        <f t="shared" si="146"/>
        <v>77.000000000000014</v>
      </c>
      <c r="AQ82">
        <f t="shared" si="147"/>
        <v>197.9096111749173</v>
      </c>
      <c r="AS82" s="5">
        <f t="shared" si="175"/>
        <v>5.0528117056234114</v>
      </c>
      <c r="AT82" s="5">
        <f t="shared" si="148"/>
        <v>2.5464566929133858</v>
      </c>
      <c r="AU82" s="5">
        <f t="shared" si="176"/>
        <v>2.5063550127100256</v>
      </c>
      <c r="AV82" s="5">
        <f t="shared" si="149"/>
        <v>2.5063550127100256</v>
      </c>
      <c r="AW82" s="153">
        <f t="shared" si="177"/>
        <v>0.50396825396825395</v>
      </c>
      <c r="AX82" s="153">
        <f t="shared" si="150"/>
        <v>1.7111111111111117</v>
      </c>
      <c r="AY82" s="153">
        <f t="shared" si="151"/>
        <v>8.4208223972003518E-2</v>
      </c>
      <c r="AZ82" s="153">
        <f t="shared" si="178"/>
        <v>20.320000000000004</v>
      </c>
      <c r="BA82" s="147">
        <f t="shared" si="152"/>
        <v>5.9640482169430262</v>
      </c>
      <c r="BB82" s="147">
        <f t="shared" si="153"/>
        <v>10.450769868000004</v>
      </c>
      <c r="BC82" s="5">
        <f t="shared" si="154"/>
        <v>0.21443259553185776</v>
      </c>
      <c r="BD82" s="147">
        <f t="shared" si="155"/>
        <v>21.69992621985244</v>
      </c>
      <c r="BE82" s="5"/>
      <c r="BF82" s="153">
        <f t="shared" si="179"/>
        <v>0.13916050431398114</v>
      </c>
      <c r="BG82" s="153">
        <f t="shared" si="156"/>
        <v>0.13806040402080302</v>
      </c>
      <c r="BH82" s="153"/>
      <c r="BI82" s="463">
        <f t="shared" si="157"/>
        <v>6.7779760863225461E-3</v>
      </c>
      <c r="BJ82" s="463">
        <f t="shared" si="158"/>
        <v>1.354666666666667E-2</v>
      </c>
      <c r="BK82" s="463">
        <f t="shared" si="159"/>
        <v>2.4738701396864664E-3</v>
      </c>
      <c r="BL82" s="463">
        <f t="shared" si="160"/>
        <v>1.6087106493506496E-2</v>
      </c>
      <c r="BM82">
        <f t="shared" si="161"/>
        <v>5.7999999999999996E-3</v>
      </c>
      <c r="BN82">
        <f t="shared" si="162"/>
        <v>7.4216104190593982E-6</v>
      </c>
      <c r="BO82" s="463">
        <f t="shared" si="163"/>
        <v>4.5665173738809177E-2</v>
      </c>
      <c r="BP82" s="147">
        <f t="shared" si="180"/>
        <v>45.66517373880918</v>
      </c>
      <c r="BQ82" s="463">
        <f t="shared" si="164"/>
        <v>4.3976355821007958E-2</v>
      </c>
      <c r="BR82" s="463"/>
      <c r="BT82" s="147">
        <f t="shared" si="181"/>
        <v>43.976355821007957</v>
      </c>
      <c r="BU82" s="463">
        <f t="shared" si="165"/>
        <v>1.5492516768737251E-2</v>
      </c>
      <c r="BV82" s="463">
        <f t="shared" si="166"/>
        <v>1.5172297426076344E-2</v>
      </c>
      <c r="BW82" s="463">
        <f t="shared" si="167"/>
        <v>0</v>
      </c>
      <c r="BX82" s="463">
        <f t="shared" si="168"/>
        <v>3.4429052738601848E-2</v>
      </c>
      <c r="BY82" s="463">
        <f t="shared" si="169"/>
        <v>3.4222222222222237E-2</v>
      </c>
      <c r="BZ82" s="147">
        <f t="shared" si="182"/>
        <v>68.651274960824082</v>
      </c>
      <c r="CA82" s="153">
        <f t="shared" si="183"/>
        <v>0.15829280452064121</v>
      </c>
      <c r="CB82" s="5">
        <f t="shared" si="184"/>
        <v>1.5400000000000003</v>
      </c>
      <c r="CC82" s="153">
        <f t="shared" si="185"/>
        <v>0.90679298404887199</v>
      </c>
      <c r="CD82" s="5">
        <f t="shared" si="186"/>
        <v>90.679298404887192</v>
      </c>
      <c r="CG82" s="59">
        <f t="shared" si="170"/>
        <v>-50</v>
      </c>
      <c r="CH82">
        <f t="shared" si="171"/>
        <v>-50</v>
      </c>
    </row>
    <row r="83" spans="5:86" x14ac:dyDescent="0.25">
      <c r="E83" s="150">
        <v>78</v>
      </c>
      <c r="F83" s="191">
        <f t="shared" si="172"/>
        <v>7.8000000000000014E-2</v>
      </c>
      <c r="G83" s="191"/>
      <c r="H83" s="191">
        <f t="shared" si="120"/>
        <v>1.5600000000000003</v>
      </c>
      <c r="I83" s="472">
        <f t="shared" si="121"/>
        <v>20</v>
      </c>
      <c r="J83" s="152">
        <f t="shared" si="122"/>
        <v>20.32</v>
      </c>
      <c r="K83" s="386">
        <f t="shared" si="123"/>
        <v>40.32</v>
      </c>
      <c r="L83" s="386"/>
      <c r="M83" s="191">
        <f t="shared" si="124"/>
        <v>0.50396825396825395</v>
      </c>
      <c r="N83" s="152">
        <f t="shared" si="125"/>
        <v>3.4017857142857144</v>
      </c>
      <c r="O83" s="152">
        <f t="shared" si="173"/>
        <v>1.5600000000000003</v>
      </c>
      <c r="P83" s="191">
        <f t="shared" si="126"/>
        <v>0.17008928571428572</v>
      </c>
      <c r="Q83" s="191">
        <f t="shared" si="127"/>
        <v>20</v>
      </c>
      <c r="R83" s="191">
        <f t="shared" si="128"/>
        <v>0.18898809523809523</v>
      </c>
      <c r="S83" s="152">
        <f t="shared" si="129"/>
        <v>66.634049483468203</v>
      </c>
      <c r="T83" s="152">
        <f t="shared" si="130"/>
        <v>20</v>
      </c>
      <c r="U83" s="191">
        <f t="shared" si="131"/>
        <v>0.34393700787401582</v>
      </c>
      <c r="V83" s="191">
        <f t="shared" si="132"/>
        <v>2.5795275590551183</v>
      </c>
      <c r="W83" s="191">
        <f t="shared" si="133"/>
        <v>2.5389050778101558</v>
      </c>
      <c r="X83" s="175">
        <f t="shared" si="134"/>
        <v>350</v>
      </c>
      <c r="Y83" s="386">
        <f t="shared" si="174"/>
        <v>195.37230846754656</v>
      </c>
      <c r="AA83" s="191">
        <f t="shared" si="135"/>
        <v>0.19198790627362058</v>
      </c>
      <c r="AB83" s="153">
        <f t="shared" si="136"/>
        <v>1.4172335600907029</v>
      </c>
      <c r="AC83" s="153">
        <f t="shared" si="137"/>
        <v>4.7616048182941621E-2</v>
      </c>
      <c r="AD83" s="153"/>
      <c r="AE83" s="153">
        <f t="shared" si="138"/>
        <v>1.1072834645669289</v>
      </c>
      <c r="AF83" s="317">
        <f t="shared" si="139"/>
        <v>939.23555555555572</v>
      </c>
      <c r="AG83" s="463">
        <f t="shared" si="140"/>
        <v>2.9066190944881887E-2</v>
      </c>
      <c r="AI83" s="153">
        <f t="shared" si="141"/>
        <v>0.25901400342115483</v>
      </c>
      <c r="AJ83" s="153">
        <f t="shared" si="142"/>
        <v>0.34393700787401582</v>
      </c>
      <c r="AK83" s="153">
        <f t="shared" si="143"/>
        <v>1.3292913385826772</v>
      </c>
      <c r="AM83" s="317">
        <f t="shared" si="144"/>
        <v>78.000000000000014</v>
      </c>
      <c r="AN83" s="147">
        <f t="shared" si="145"/>
        <v>195.37230846754656</v>
      </c>
      <c r="AP83">
        <f t="shared" si="146"/>
        <v>78.000000000000014</v>
      </c>
      <c r="AQ83">
        <f t="shared" si="147"/>
        <v>195.37230846754656</v>
      </c>
      <c r="AS83" s="5">
        <f t="shared" si="175"/>
        <v>5.1184326368652737</v>
      </c>
      <c r="AT83" s="5">
        <f t="shared" si="148"/>
        <v>2.5795275590551183</v>
      </c>
      <c r="AU83" s="5">
        <f t="shared" si="176"/>
        <v>2.5389050778101554</v>
      </c>
      <c r="AV83" s="5">
        <f t="shared" si="149"/>
        <v>2.5389050778101558</v>
      </c>
      <c r="AW83" s="153">
        <f t="shared" si="177"/>
        <v>0.50396825396825407</v>
      </c>
      <c r="AX83" s="153">
        <f t="shared" si="150"/>
        <v>1.7333333333333336</v>
      </c>
      <c r="AY83" s="153">
        <f t="shared" si="151"/>
        <v>8.5301837270341213E-2</v>
      </c>
      <c r="AZ83" s="153">
        <f t="shared" si="178"/>
        <v>20.32</v>
      </c>
      <c r="BA83" s="147">
        <f t="shared" si="152"/>
        <v>5.9640482169430262</v>
      </c>
      <c r="BB83" s="147">
        <f t="shared" si="153"/>
        <v>10.720942128000001</v>
      </c>
      <c r="BC83" s="5">
        <f t="shared" si="154"/>
        <v>0.22003844007688017</v>
      </c>
      <c r="BD83" s="147">
        <f t="shared" si="155"/>
        <v>22.263844007688018</v>
      </c>
      <c r="BE83" s="5"/>
      <c r="BF83" s="153">
        <f t="shared" si="179"/>
        <v>0.14096778359078607</v>
      </c>
      <c r="BG83" s="153">
        <f t="shared" si="156"/>
        <v>0.13985339628081345</v>
      </c>
      <c r="BH83" s="153"/>
      <c r="BI83" s="463">
        <f t="shared" si="157"/>
        <v>6.9551706036745427E-3</v>
      </c>
      <c r="BJ83" s="463">
        <f t="shared" si="158"/>
        <v>1.354666666666667E-2</v>
      </c>
      <c r="BK83" s="463">
        <f t="shared" si="159"/>
        <v>2.4421538558443319E-3</v>
      </c>
      <c r="BL83" s="463">
        <f t="shared" si="160"/>
        <v>1.5880861538461539E-2</v>
      </c>
      <c r="BM83">
        <f t="shared" si="161"/>
        <v>5.7999999999999996E-3</v>
      </c>
      <c r="BN83">
        <f t="shared" si="162"/>
        <v>7.3264615675329956E-6</v>
      </c>
      <c r="BO83" s="463">
        <f t="shared" si="163"/>
        <v>4.5629680485893047E-2</v>
      </c>
      <c r="BP83" s="147">
        <f t="shared" si="180"/>
        <v>45.629680485893047</v>
      </c>
      <c r="BQ83" s="463">
        <f t="shared" si="164"/>
        <v>4.4739054952776587E-2</v>
      </c>
      <c r="BR83" s="463"/>
      <c r="BT83" s="147">
        <f t="shared" si="181"/>
        <v>44.739054952776584</v>
      </c>
      <c r="BU83" s="463">
        <f t="shared" si="165"/>
        <v>1.5897532808398958E-2</v>
      </c>
      <c r="BV83" s="463">
        <f t="shared" si="166"/>
        <v>1.5568942071217484E-2</v>
      </c>
      <c r="BW83" s="463">
        <f t="shared" si="167"/>
        <v>0</v>
      </c>
      <c r="BX83" s="463">
        <f t="shared" si="168"/>
        <v>3.5331392214416571E-2</v>
      </c>
      <c r="BY83" s="463">
        <f t="shared" si="169"/>
        <v>3.4666666666666679E-2</v>
      </c>
      <c r="BZ83" s="147">
        <f t="shared" si="182"/>
        <v>69.998058881083253</v>
      </c>
      <c r="CA83" s="153">
        <f t="shared" si="183"/>
        <v>0.16036679431975287</v>
      </c>
      <c r="CB83" s="5">
        <f t="shared" si="184"/>
        <v>1.5600000000000003</v>
      </c>
      <c r="CC83" s="153">
        <f t="shared" si="185"/>
        <v>0.90678337035494616</v>
      </c>
      <c r="CD83" s="5">
        <f t="shared" si="186"/>
        <v>90.678337035494621</v>
      </c>
      <c r="CG83" s="59">
        <f t="shared" si="170"/>
        <v>-50</v>
      </c>
      <c r="CH83">
        <f t="shared" si="171"/>
        <v>-50</v>
      </c>
    </row>
    <row r="84" spans="5:86" x14ac:dyDescent="0.25">
      <c r="E84" s="150">
        <v>79</v>
      </c>
      <c r="F84" s="191">
        <f t="shared" si="172"/>
        <v>7.9000000000000015E-2</v>
      </c>
      <c r="G84" s="191"/>
      <c r="H84" s="191">
        <f t="shared" si="120"/>
        <v>1.5800000000000003</v>
      </c>
      <c r="I84" s="472">
        <f t="shared" si="121"/>
        <v>20</v>
      </c>
      <c r="J84" s="152">
        <f t="shared" si="122"/>
        <v>20.32</v>
      </c>
      <c r="K84" s="386">
        <f t="shared" si="123"/>
        <v>40.32</v>
      </c>
      <c r="L84" s="386"/>
      <c r="M84" s="191">
        <f t="shared" si="124"/>
        <v>0.50396825396825395</v>
      </c>
      <c r="N84" s="152">
        <f t="shared" si="125"/>
        <v>3.4017857142857144</v>
      </c>
      <c r="O84" s="152">
        <f t="shared" si="173"/>
        <v>1.5800000000000003</v>
      </c>
      <c r="P84" s="191">
        <f t="shared" si="126"/>
        <v>0.17008928571428572</v>
      </c>
      <c r="Q84" s="191">
        <f t="shared" si="127"/>
        <v>20</v>
      </c>
      <c r="R84" s="191">
        <f t="shared" si="128"/>
        <v>0.18898809523809523</v>
      </c>
      <c r="S84" s="152">
        <f t="shared" si="129"/>
        <v>65.540213487199054</v>
      </c>
      <c r="T84" s="152">
        <f t="shared" si="130"/>
        <v>20</v>
      </c>
      <c r="U84" s="191">
        <f t="shared" si="131"/>
        <v>0.34834645669291348</v>
      </c>
      <c r="V84" s="191">
        <f t="shared" si="132"/>
        <v>2.6125984251968508</v>
      </c>
      <c r="W84" s="191">
        <f t="shared" si="133"/>
        <v>2.5714551429102861</v>
      </c>
      <c r="X84" s="175">
        <f t="shared" si="134"/>
        <v>350</v>
      </c>
      <c r="Y84" s="386">
        <f t="shared" si="174"/>
        <v>192.89924127175482</v>
      </c>
      <c r="AA84" s="191">
        <f t="shared" si="135"/>
        <v>0.19198790627362058</v>
      </c>
      <c r="AB84" s="153">
        <f t="shared" si="136"/>
        <v>1.4172335600907029</v>
      </c>
      <c r="AC84" s="153">
        <f t="shared" si="137"/>
        <v>4.7616048182941621E-2</v>
      </c>
      <c r="AD84" s="153"/>
      <c r="AE84" s="153">
        <f t="shared" si="138"/>
        <v>1.1072834645669289</v>
      </c>
      <c r="AF84" s="317">
        <f t="shared" si="139"/>
        <v>951.2770370370373</v>
      </c>
      <c r="AG84" s="463">
        <f t="shared" si="140"/>
        <v>2.9066190944881887E-2</v>
      </c>
      <c r="AI84" s="153">
        <f t="shared" si="141"/>
        <v>0.26066906181662564</v>
      </c>
      <c r="AJ84" s="153">
        <f t="shared" si="142"/>
        <v>0.34834645669291348</v>
      </c>
      <c r="AK84" s="153">
        <f t="shared" si="143"/>
        <v>1.3322309711286089</v>
      </c>
      <c r="AM84" s="317">
        <f t="shared" si="144"/>
        <v>79.000000000000014</v>
      </c>
      <c r="AN84" s="147">
        <f t="shared" si="145"/>
        <v>192.89924127175482</v>
      </c>
      <c r="AP84">
        <f t="shared" si="146"/>
        <v>79.000000000000014</v>
      </c>
      <c r="AQ84">
        <f t="shared" si="147"/>
        <v>192.89924127175482</v>
      </c>
      <c r="AS84" s="5">
        <f t="shared" si="175"/>
        <v>5.1840535681071369</v>
      </c>
      <c r="AT84" s="5">
        <f t="shared" si="148"/>
        <v>2.6125984251968508</v>
      </c>
      <c r="AU84" s="5">
        <f t="shared" si="176"/>
        <v>2.5714551429102861</v>
      </c>
      <c r="AV84" s="5">
        <f t="shared" si="149"/>
        <v>2.5714551429102861</v>
      </c>
      <c r="AW84" s="153">
        <f t="shared" si="177"/>
        <v>0.50396825396825395</v>
      </c>
      <c r="AX84" s="153">
        <f t="shared" si="150"/>
        <v>1.7555555555555562</v>
      </c>
      <c r="AY84" s="153">
        <f t="shared" si="151"/>
        <v>8.6395450568678936E-2</v>
      </c>
      <c r="AZ84" s="153">
        <f t="shared" si="178"/>
        <v>20.320000000000004</v>
      </c>
      <c r="BA84" s="147">
        <f t="shared" si="152"/>
        <v>5.9640482169430262</v>
      </c>
      <c r="BB84" s="147">
        <f t="shared" si="153"/>
        <v>10.994561772000004</v>
      </c>
      <c r="BC84" s="5">
        <f t="shared" si="154"/>
        <v>0.22571661809990293</v>
      </c>
      <c r="BD84" s="147">
        <f t="shared" si="155"/>
        <v>22.834995143323628</v>
      </c>
      <c r="BE84" s="5"/>
      <c r="BF84" s="153">
        <f t="shared" si="179"/>
        <v>0.14277506286759103</v>
      </c>
      <c r="BG84" s="153">
        <f t="shared" si="156"/>
        <v>0.1416463885408239</v>
      </c>
      <c r="BH84" s="153"/>
      <c r="BI84" s="463">
        <f t="shared" si="157"/>
        <v>7.1346515018955994E-3</v>
      </c>
      <c r="BJ84" s="463">
        <f t="shared" si="158"/>
        <v>1.3546666666666667E-2</v>
      </c>
      <c r="BK84" s="463">
        <f t="shared" si="159"/>
        <v>2.4112405158969352E-3</v>
      </c>
      <c r="BL84" s="463">
        <f t="shared" si="160"/>
        <v>1.5679837974683548E-2</v>
      </c>
      <c r="BM84">
        <f t="shared" si="161"/>
        <v>5.7999999999999996E-3</v>
      </c>
      <c r="BN84">
        <f t="shared" si="162"/>
        <v>7.2337215476908056E-6</v>
      </c>
      <c r="BO84" s="463">
        <f t="shared" si="163"/>
        <v>4.5602837318346814E-2</v>
      </c>
      <c r="BP84" s="147">
        <f t="shared" si="180"/>
        <v>45.602837318346815</v>
      </c>
      <c r="BQ84" s="463">
        <f t="shared" si="164"/>
        <v>4.5506666331406757E-2</v>
      </c>
      <c r="BR84" s="463"/>
      <c r="BT84" s="147">
        <f t="shared" si="181"/>
        <v>45.506666331406755</v>
      </c>
      <c r="BU84" s="463">
        <f t="shared" si="165"/>
        <v>1.6307774861475659E-2</v>
      </c>
      <c r="BV84" s="463">
        <f t="shared" si="166"/>
        <v>1.5970704711779807E-2</v>
      </c>
      <c r="BW84" s="463">
        <f t="shared" si="167"/>
        <v>0</v>
      </c>
      <c r="BX84" s="463">
        <f t="shared" si="168"/>
        <v>3.6245493074672806E-2</v>
      </c>
      <c r="BY84" s="463">
        <f t="shared" si="169"/>
        <v>3.5111111111111128E-2</v>
      </c>
      <c r="BZ84" s="147">
        <f t="shared" si="182"/>
        <v>71.356604185783937</v>
      </c>
      <c r="CA84" s="153">
        <f t="shared" si="183"/>
        <v>0.1624661078355375</v>
      </c>
      <c r="CB84" s="5">
        <f t="shared" si="184"/>
        <v>1.5800000000000003</v>
      </c>
      <c r="CC84" s="153">
        <f t="shared" si="185"/>
        <v>0.90676082185761986</v>
      </c>
      <c r="CD84" s="5">
        <f t="shared" si="186"/>
        <v>90.676082185761985</v>
      </c>
      <c r="CG84" s="59">
        <f t="shared" si="170"/>
        <v>-50</v>
      </c>
      <c r="CH84">
        <f t="shared" si="171"/>
        <v>-50</v>
      </c>
    </row>
    <row r="85" spans="5:86" x14ac:dyDescent="0.25">
      <c r="E85" s="150">
        <v>80</v>
      </c>
      <c r="F85" s="191">
        <f t="shared" si="172"/>
        <v>8.0000000000000016E-2</v>
      </c>
      <c r="G85" s="191"/>
      <c r="H85" s="191">
        <f t="shared" si="120"/>
        <v>1.6000000000000003</v>
      </c>
      <c r="I85" s="472">
        <f t="shared" si="121"/>
        <v>20</v>
      </c>
      <c r="J85" s="152">
        <f t="shared" si="122"/>
        <v>20.32</v>
      </c>
      <c r="K85" s="386">
        <f t="shared" si="123"/>
        <v>40.32</v>
      </c>
      <c r="L85" s="386"/>
      <c r="M85" s="191">
        <f t="shared" si="124"/>
        <v>0.50396825396825395</v>
      </c>
      <c r="N85" s="152">
        <f t="shared" si="125"/>
        <v>3.4017857142857144</v>
      </c>
      <c r="O85" s="152">
        <f t="shared" si="173"/>
        <v>1.6000000000000003</v>
      </c>
      <c r="P85" s="191">
        <f t="shared" si="126"/>
        <v>0.17008928571428572</v>
      </c>
      <c r="Q85" s="191">
        <f t="shared" si="127"/>
        <v>20</v>
      </c>
      <c r="R85" s="191">
        <f t="shared" si="128"/>
        <v>0.18898809523809523</v>
      </c>
      <c r="S85" s="152">
        <f t="shared" si="129"/>
        <v>64.473774921013643</v>
      </c>
      <c r="T85" s="152">
        <f t="shared" si="130"/>
        <v>20</v>
      </c>
      <c r="U85" s="191">
        <f t="shared" si="131"/>
        <v>0.35275590551181113</v>
      </c>
      <c r="V85" s="191">
        <f t="shared" si="132"/>
        <v>2.6456692913385833</v>
      </c>
      <c r="W85" s="191">
        <f t="shared" si="133"/>
        <v>2.6040052080104168</v>
      </c>
      <c r="X85" s="175">
        <f t="shared" si="134"/>
        <v>350</v>
      </c>
      <c r="Y85" s="386">
        <f t="shared" si="174"/>
        <v>190.48800075585783</v>
      </c>
      <c r="AA85" s="191">
        <f t="shared" si="135"/>
        <v>0.19198790627362058</v>
      </c>
      <c r="AB85" s="153">
        <f t="shared" si="136"/>
        <v>1.4172335600907029</v>
      </c>
      <c r="AC85" s="153">
        <f t="shared" si="137"/>
        <v>4.7616048182941621E-2</v>
      </c>
      <c r="AD85" s="153"/>
      <c r="AE85" s="153">
        <f t="shared" si="138"/>
        <v>1.1072834645669289</v>
      </c>
      <c r="AF85" s="317">
        <f t="shared" si="139"/>
        <v>963.31851851851877</v>
      </c>
      <c r="AG85" s="463">
        <f t="shared" si="140"/>
        <v>2.9066190944881887E-2</v>
      </c>
      <c r="AI85" s="153">
        <f t="shared" si="141"/>
        <v>0.26231367789054699</v>
      </c>
      <c r="AJ85" s="153">
        <f t="shared" si="142"/>
        <v>0.35275590551181113</v>
      </c>
      <c r="AK85" s="153">
        <f t="shared" si="143"/>
        <v>1.3351706036745408</v>
      </c>
      <c r="AM85" s="317">
        <f t="shared" si="144"/>
        <v>80.000000000000014</v>
      </c>
      <c r="AN85" s="147">
        <f t="shared" si="145"/>
        <v>190.48800075585783</v>
      </c>
      <c r="AP85">
        <f t="shared" si="146"/>
        <v>80.000000000000014</v>
      </c>
      <c r="AQ85">
        <f t="shared" si="147"/>
        <v>190.48800075585783</v>
      </c>
      <c r="AS85" s="5">
        <f t="shared" si="175"/>
        <v>5.249674499349001</v>
      </c>
      <c r="AT85" s="5">
        <f t="shared" si="148"/>
        <v>2.6456692913385833</v>
      </c>
      <c r="AU85" s="5">
        <f t="shared" si="176"/>
        <v>2.6040052080104177</v>
      </c>
      <c r="AV85" s="5">
        <f t="shared" si="149"/>
        <v>2.6040052080104168</v>
      </c>
      <c r="AW85" s="153">
        <f t="shared" si="177"/>
        <v>0.50396825396825384</v>
      </c>
      <c r="AX85" s="153">
        <f t="shared" si="150"/>
        <v>1.7777777777777779</v>
      </c>
      <c r="AY85" s="153">
        <f t="shared" si="151"/>
        <v>8.7489063867016673E-2</v>
      </c>
      <c r="AZ85" s="153">
        <f t="shared" si="178"/>
        <v>20.31999999999999</v>
      </c>
      <c r="BA85" s="147">
        <f t="shared" si="152"/>
        <v>5.9640482169430262</v>
      </c>
      <c r="BB85" s="147">
        <f t="shared" si="153"/>
        <v>11.271628800000004</v>
      </c>
      <c r="BC85" s="5">
        <f t="shared" si="154"/>
        <v>0.23146712960092605</v>
      </c>
      <c r="BD85" s="147">
        <f t="shared" si="155"/>
        <v>23.413379626759269</v>
      </c>
      <c r="BE85" s="5"/>
      <c r="BF85" s="153">
        <f t="shared" si="179"/>
        <v>0.14458234214439597</v>
      </c>
      <c r="BG85" s="153">
        <f t="shared" si="156"/>
        <v>0.14343938080083432</v>
      </c>
      <c r="BH85" s="153"/>
      <c r="BI85" s="463">
        <f t="shared" si="157"/>
        <v>7.3164187809857126E-3</v>
      </c>
      <c r="BJ85" s="463">
        <f t="shared" si="158"/>
        <v>1.3546666666666665E-2</v>
      </c>
      <c r="BK85" s="463">
        <f t="shared" si="159"/>
        <v>2.3811000094482227E-3</v>
      </c>
      <c r="BL85" s="463">
        <f t="shared" si="160"/>
        <v>1.5483839999999999E-2</v>
      </c>
      <c r="BM85">
        <f t="shared" si="161"/>
        <v>5.7999999999999996E-3</v>
      </c>
      <c r="BN85">
        <f t="shared" si="162"/>
        <v>7.1433000283446683E-6</v>
      </c>
      <c r="BO85" s="463">
        <f t="shared" si="163"/>
        <v>4.5584418754249643E-2</v>
      </c>
      <c r="BP85" s="147">
        <f t="shared" si="180"/>
        <v>45.58441875424964</v>
      </c>
      <c r="BQ85" s="463">
        <f t="shared" si="164"/>
        <v>4.6279189956898448E-2</v>
      </c>
      <c r="BR85" s="463"/>
      <c r="BT85" s="147">
        <f t="shared" si="181"/>
        <v>46.279189956898449</v>
      </c>
      <c r="BU85" s="463">
        <f t="shared" si="165"/>
        <v>1.6723242927967345E-2</v>
      </c>
      <c r="BV85" s="463">
        <f t="shared" si="166"/>
        <v>1.6377585347763297E-2</v>
      </c>
      <c r="BW85" s="463">
        <f t="shared" si="167"/>
        <v>0</v>
      </c>
      <c r="BX85" s="463">
        <f t="shared" si="168"/>
        <v>3.7171359892865456E-2</v>
      </c>
      <c r="BY85" s="463">
        <f t="shared" si="169"/>
        <v>3.5555555555555569E-2</v>
      </c>
      <c r="BZ85" s="147">
        <f t="shared" si="182"/>
        <v>72.726915448421025</v>
      </c>
      <c r="CA85" s="153">
        <f t="shared" si="183"/>
        <v>0.16459052415956912</v>
      </c>
      <c r="CB85" s="5">
        <f t="shared" si="184"/>
        <v>1.6000000000000003</v>
      </c>
      <c r="CC85" s="153">
        <f t="shared" si="185"/>
        <v>0.9067259390175183</v>
      </c>
      <c r="CD85" s="5">
        <f t="shared" si="186"/>
        <v>90.672593901751824</v>
      </c>
      <c r="CG85" s="59">
        <f t="shared" si="170"/>
        <v>-50</v>
      </c>
      <c r="CH85">
        <f t="shared" si="171"/>
        <v>-50</v>
      </c>
    </row>
    <row r="86" spans="5:86" x14ac:dyDescent="0.25">
      <c r="E86" s="150">
        <v>81</v>
      </c>
      <c r="F86" s="191">
        <f t="shared" si="172"/>
        <v>8.1000000000000016E-2</v>
      </c>
      <c r="G86" s="191"/>
      <c r="H86" s="191">
        <f t="shared" si="120"/>
        <v>1.6200000000000003</v>
      </c>
      <c r="I86" s="472">
        <f t="shared" si="121"/>
        <v>20</v>
      </c>
      <c r="J86" s="152">
        <f t="shared" si="122"/>
        <v>20.32</v>
      </c>
      <c r="K86" s="386">
        <f t="shared" si="123"/>
        <v>40.32</v>
      </c>
      <c r="L86" s="386"/>
      <c r="M86" s="191">
        <f t="shared" si="124"/>
        <v>0.50396825396825395</v>
      </c>
      <c r="N86" s="152">
        <f t="shared" si="125"/>
        <v>3.4017857142857144</v>
      </c>
      <c r="O86" s="152">
        <f t="shared" si="173"/>
        <v>1.6200000000000003</v>
      </c>
      <c r="P86" s="191">
        <f t="shared" si="126"/>
        <v>0.17008928571428572</v>
      </c>
      <c r="Q86" s="191">
        <f t="shared" si="127"/>
        <v>20</v>
      </c>
      <c r="R86" s="191">
        <f t="shared" si="128"/>
        <v>0.18898809523809523</v>
      </c>
      <c r="S86" s="152">
        <f t="shared" si="129"/>
        <v>63.433719632938235</v>
      </c>
      <c r="T86" s="152">
        <f t="shared" si="130"/>
        <v>20</v>
      </c>
      <c r="U86" s="191">
        <f t="shared" si="131"/>
        <v>0.35716535433070873</v>
      </c>
      <c r="V86" s="191">
        <f t="shared" si="132"/>
        <v>2.6787401574803154</v>
      </c>
      <c r="W86" s="191">
        <f t="shared" si="133"/>
        <v>2.6365552731105466</v>
      </c>
      <c r="X86" s="175">
        <f t="shared" si="134"/>
        <v>350</v>
      </c>
      <c r="Y86" s="386">
        <f t="shared" si="174"/>
        <v>188.1362970428226</v>
      </c>
      <c r="AA86" s="191">
        <f t="shared" si="135"/>
        <v>0.19198790627362058</v>
      </c>
      <c r="AB86" s="153">
        <f t="shared" si="136"/>
        <v>1.4172335600907029</v>
      </c>
      <c r="AC86" s="153">
        <f t="shared" si="137"/>
        <v>4.7616048182941621E-2</v>
      </c>
      <c r="AD86" s="153"/>
      <c r="AE86" s="153">
        <f t="shared" si="138"/>
        <v>1.1072834645669289</v>
      </c>
      <c r="AF86" s="317">
        <f t="shared" si="139"/>
        <v>975.36000000000024</v>
      </c>
      <c r="AG86" s="463">
        <f t="shared" si="140"/>
        <v>2.9066190944881887E-2</v>
      </c>
      <c r="AI86" s="153">
        <f t="shared" si="141"/>
        <v>0.26394804683606099</v>
      </c>
      <c r="AJ86" s="153">
        <f t="shared" si="142"/>
        <v>0.35716535433070873</v>
      </c>
      <c r="AK86" s="153">
        <f t="shared" si="143"/>
        <v>1.3381102362204724</v>
      </c>
      <c r="AM86" s="317">
        <f t="shared" si="144"/>
        <v>81.000000000000014</v>
      </c>
      <c r="AN86" s="147">
        <f t="shared" si="145"/>
        <v>188.1362970428226</v>
      </c>
      <c r="AP86">
        <f t="shared" si="146"/>
        <v>81.000000000000014</v>
      </c>
      <c r="AQ86">
        <f t="shared" si="147"/>
        <v>188.1362970428226</v>
      </c>
      <c r="AS86" s="5">
        <f t="shared" si="175"/>
        <v>5.3152954305908615</v>
      </c>
      <c r="AT86" s="5">
        <f t="shared" si="148"/>
        <v>2.6787401574803154</v>
      </c>
      <c r="AU86" s="5">
        <f t="shared" si="176"/>
        <v>2.6365552731105462</v>
      </c>
      <c r="AV86" s="5">
        <f t="shared" si="149"/>
        <v>2.6365552731105466</v>
      </c>
      <c r="AW86" s="153">
        <f t="shared" si="177"/>
        <v>0.50396825396825407</v>
      </c>
      <c r="AX86" s="153">
        <f t="shared" si="150"/>
        <v>1.8000000000000003</v>
      </c>
      <c r="AY86" s="153">
        <f t="shared" si="151"/>
        <v>8.8582677165354326E-2</v>
      </c>
      <c r="AZ86" s="153">
        <f t="shared" si="178"/>
        <v>20.320000000000004</v>
      </c>
      <c r="BA86" s="147">
        <f t="shared" si="152"/>
        <v>5.9640482169430262</v>
      </c>
      <c r="BB86" s="147">
        <f t="shared" si="153"/>
        <v>11.552143212000004</v>
      </c>
      <c r="BC86" s="5">
        <f t="shared" si="154"/>
        <v>0.23728997457994919</v>
      </c>
      <c r="BD86" s="147">
        <f t="shared" si="155"/>
        <v>23.998997457994918</v>
      </c>
      <c r="BE86" s="5"/>
      <c r="BF86" s="153">
        <f t="shared" si="179"/>
        <v>0.14638962142120093</v>
      </c>
      <c r="BG86" s="153">
        <f t="shared" si="156"/>
        <v>0.14523237306084472</v>
      </c>
      <c r="BH86" s="153"/>
      <c r="BI86" s="463">
        <f t="shared" si="157"/>
        <v>7.500472440944885E-3</v>
      </c>
      <c r="BJ86" s="463">
        <f t="shared" si="158"/>
        <v>1.3546666666666667E-2</v>
      </c>
      <c r="BK86" s="463">
        <f t="shared" si="159"/>
        <v>2.3517037130352824E-3</v>
      </c>
      <c r="BL86" s="463">
        <f t="shared" si="160"/>
        <v>1.5292681481481484E-2</v>
      </c>
      <c r="BM86">
        <f t="shared" si="161"/>
        <v>5.7999999999999996E-3</v>
      </c>
      <c r="BN86">
        <f t="shared" si="162"/>
        <v>7.0551111391058472E-6</v>
      </c>
      <c r="BO86" s="463">
        <f t="shared" si="163"/>
        <v>4.557421047903755E-2</v>
      </c>
      <c r="BP86" s="147">
        <f t="shared" si="180"/>
        <v>45.574210479037546</v>
      </c>
      <c r="BQ86" s="463">
        <f t="shared" si="164"/>
        <v>4.7056625829251672E-2</v>
      </c>
      <c r="BR86" s="463"/>
      <c r="BT86" s="147">
        <f t="shared" si="181"/>
        <v>47.056625829251672</v>
      </c>
      <c r="BU86" s="463">
        <f t="shared" si="165"/>
        <v>1.7143937007874026E-2</v>
      </c>
      <c r="BV86" s="463">
        <f t="shared" si="166"/>
        <v>1.6789583979167962E-2</v>
      </c>
      <c r="BW86" s="463">
        <f t="shared" si="167"/>
        <v>0</v>
      </c>
      <c r="BX86" s="463">
        <f t="shared" si="168"/>
        <v>3.8108997302267154E-2</v>
      </c>
      <c r="BY86" s="463">
        <f t="shared" si="169"/>
        <v>3.6000000000000004E-2</v>
      </c>
      <c r="BZ86" s="147">
        <f t="shared" si="182"/>
        <v>74.10899730226717</v>
      </c>
      <c r="CA86" s="153">
        <f t="shared" si="183"/>
        <v>0.16673983361055639</v>
      </c>
      <c r="CB86" s="5">
        <f t="shared" si="184"/>
        <v>1.6200000000000003</v>
      </c>
      <c r="CC86" s="153">
        <f t="shared" si="185"/>
        <v>0.90667928789967334</v>
      </c>
      <c r="CD86" s="5">
        <f t="shared" si="186"/>
        <v>90.667928789967334</v>
      </c>
      <c r="CG86" s="59">
        <f t="shared" si="170"/>
        <v>-50</v>
      </c>
      <c r="CH86">
        <f t="shared" si="171"/>
        <v>-50</v>
      </c>
    </row>
    <row r="87" spans="5:86" x14ac:dyDescent="0.25">
      <c r="E87" s="150">
        <v>82</v>
      </c>
      <c r="F87" s="191">
        <f t="shared" si="172"/>
        <v>8.2000000000000003E-2</v>
      </c>
      <c r="G87" s="191"/>
      <c r="H87" s="191">
        <f t="shared" si="120"/>
        <v>1.6400000000000001</v>
      </c>
      <c r="I87" s="472">
        <f t="shared" si="121"/>
        <v>20</v>
      </c>
      <c r="J87" s="152">
        <f t="shared" si="122"/>
        <v>20.32</v>
      </c>
      <c r="K87" s="386">
        <f t="shared" si="123"/>
        <v>40.32</v>
      </c>
      <c r="L87" s="386"/>
      <c r="M87" s="191">
        <f t="shared" si="124"/>
        <v>0.50396825396825395</v>
      </c>
      <c r="N87" s="152">
        <f t="shared" si="125"/>
        <v>3.4017857142857144</v>
      </c>
      <c r="O87" s="152">
        <f t="shared" si="173"/>
        <v>1.6400000000000001</v>
      </c>
      <c r="P87" s="191">
        <f t="shared" si="126"/>
        <v>0.17008928571428572</v>
      </c>
      <c r="Q87" s="191">
        <f t="shared" si="127"/>
        <v>20</v>
      </c>
      <c r="R87" s="191">
        <f t="shared" si="128"/>
        <v>0.18898809523809523</v>
      </c>
      <c r="S87" s="152">
        <f t="shared" si="129"/>
        <v>62.419082949948681</v>
      </c>
      <c r="T87" s="152">
        <f t="shared" si="130"/>
        <v>20</v>
      </c>
      <c r="U87" s="191">
        <f t="shared" si="131"/>
        <v>0.36157480314960633</v>
      </c>
      <c r="V87" s="191">
        <f t="shared" si="132"/>
        <v>2.7118110236220474</v>
      </c>
      <c r="W87" s="191">
        <f t="shared" si="133"/>
        <v>2.6691053382106764</v>
      </c>
      <c r="X87" s="175">
        <f t="shared" si="134"/>
        <v>350</v>
      </c>
      <c r="Y87" s="386">
        <f t="shared" si="174"/>
        <v>185.84195195693454</v>
      </c>
      <c r="AA87" s="191">
        <f t="shared" si="135"/>
        <v>0.19198790627362058</v>
      </c>
      <c r="AB87" s="153">
        <f t="shared" si="136"/>
        <v>1.4172335600907029</v>
      </c>
      <c r="AC87" s="153">
        <f t="shared" si="137"/>
        <v>4.7616048182941621E-2</v>
      </c>
      <c r="AD87" s="153"/>
      <c r="AE87" s="153">
        <f t="shared" si="138"/>
        <v>1.1072834645669289</v>
      </c>
      <c r="AF87" s="317">
        <f t="shared" si="139"/>
        <v>987.4014814814816</v>
      </c>
      <c r="AG87" s="463">
        <f t="shared" si="140"/>
        <v>2.9066190944881887E-2</v>
      </c>
      <c r="AI87" s="153">
        <f t="shared" si="141"/>
        <v>0.2655723578399628</v>
      </c>
      <c r="AJ87" s="153">
        <f t="shared" si="142"/>
        <v>0.36157480314960633</v>
      </c>
      <c r="AK87" s="153">
        <f t="shared" si="143"/>
        <v>1.3410498687664041</v>
      </c>
      <c r="AM87" s="317">
        <f t="shared" si="144"/>
        <v>82</v>
      </c>
      <c r="AN87" s="147">
        <f t="shared" si="145"/>
        <v>185.84195195693454</v>
      </c>
      <c r="AP87">
        <f t="shared" si="146"/>
        <v>82</v>
      </c>
      <c r="AQ87">
        <f t="shared" si="147"/>
        <v>185.84195195693454</v>
      </c>
      <c r="AS87" s="5">
        <f t="shared" si="175"/>
        <v>5.3809163618327238</v>
      </c>
      <c r="AT87" s="5">
        <f t="shared" si="148"/>
        <v>2.7118110236220474</v>
      </c>
      <c r="AU87" s="5">
        <f t="shared" si="176"/>
        <v>2.6691053382106764</v>
      </c>
      <c r="AV87" s="5">
        <f t="shared" si="149"/>
        <v>2.6691053382106764</v>
      </c>
      <c r="AW87" s="153">
        <f t="shared" si="177"/>
        <v>0.50396825396825395</v>
      </c>
      <c r="AX87" s="153">
        <f t="shared" si="150"/>
        <v>1.8222222222222222</v>
      </c>
      <c r="AY87" s="153">
        <f t="shared" si="151"/>
        <v>8.9676290463692049E-2</v>
      </c>
      <c r="AZ87" s="153">
        <f t="shared" si="178"/>
        <v>20.319999999999997</v>
      </c>
      <c r="BA87" s="147">
        <f t="shared" si="152"/>
        <v>5.9640482169430262</v>
      </c>
      <c r="BB87" s="147">
        <f t="shared" si="153"/>
        <v>11.836105008000001</v>
      </c>
      <c r="BC87" s="5">
        <f t="shared" si="154"/>
        <v>0.24318515303697275</v>
      </c>
      <c r="BD87" s="147">
        <f t="shared" si="155"/>
        <v>24.591848637030608</v>
      </c>
      <c r="BE87" s="5"/>
      <c r="BF87" s="153">
        <f t="shared" si="179"/>
        <v>0.14819690069800587</v>
      </c>
      <c r="BG87" s="153">
        <f t="shared" si="156"/>
        <v>0.14702536532085514</v>
      </c>
      <c r="BH87" s="153"/>
      <c r="BI87" s="463">
        <f t="shared" si="157"/>
        <v>7.6868124817731139E-3</v>
      </c>
      <c r="BJ87" s="463">
        <f t="shared" si="158"/>
        <v>1.3546666666666667E-2</v>
      </c>
      <c r="BK87" s="463">
        <f t="shared" si="159"/>
        <v>2.323024399461682E-3</v>
      </c>
      <c r="BL87" s="463">
        <f t="shared" si="160"/>
        <v>1.5106185365853661E-2</v>
      </c>
      <c r="BM87">
        <f t="shared" si="161"/>
        <v>5.7999999999999996E-3</v>
      </c>
      <c r="BN87">
        <f t="shared" si="162"/>
        <v>6.9690731983850445E-6</v>
      </c>
      <c r="BO87" s="463">
        <f t="shared" si="163"/>
        <v>4.5572008664980075E-2</v>
      </c>
      <c r="BP87" s="147">
        <f t="shared" si="180"/>
        <v>45.572008664980075</v>
      </c>
      <c r="BQ87" s="463">
        <f t="shared" si="164"/>
        <v>4.7838973948466416E-2</v>
      </c>
      <c r="BR87" s="463"/>
      <c r="BT87" s="147">
        <f t="shared" si="181"/>
        <v>47.838973948466418</v>
      </c>
      <c r="BU87" s="463">
        <f t="shared" si="165"/>
        <v>1.7569857101195692E-2</v>
      </c>
      <c r="BV87" s="463">
        <f t="shared" si="166"/>
        <v>1.7206700605993809E-2</v>
      </c>
      <c r="BW87" s="463">
        <f t="shared" si="167"/>
        <v>0</v>
      </c>
      <c r="BX87" s="463">
        <f t="shared" si="168"/>
        <v>3.9058409995986365E-2</v>
      </c>
      <c r="BY87" s="463">
        <f t="shared" si="169"/>
        <v>3.6444444444444446E-2</v>
      </c>
      <c r="BZ87" s="147">
        <f t="shared" si="182"/>
        <v>75.502854440430809</v>
      </c>
      <c r="CA87" s="153">
        <f t="shared" si="183"/>
        <v>0.1689138370538773</v>
      </c>
      <c r="CB87" s="5">
        <f t="shared" si="184"/>
        <v>1.6400000000000001</v>
      </c>
      <c r="CC87" s="153">
        <f t="shared" si="185"/>
        <v>0.90662140252684342</v>
      </c>
      <c r="CD87" s="5">
        <f t="shared" si="186"/>
        <v>90.662140252684338</v>
      </c>
      <c r="CG87" s="59">
        <f t="shared" si="170"/>
        <v>-50</v>
      </c>
      <c r="CH87">
        <f t="shared" si="171"/>
        <v>-50</v>
      </c>
    </row>
    <row r="88" spans="5:86" x14ac:dyDescent="0.25">
      <c r="E88" s="150">
        <v>83</v>
      </c>
      <c r="F88" s="191">
        <f t="shared" si="172"/>
        <v>8.3000000000000004E-2</v>
      </c>
      <c r="G88" s="191"/>
      <c r="H88" s="191">
        <f t="shared" si="120"/>
        <v>1.6600000000000001</v>
      </c>
      <c r="I88" s="472">
        <f t="shared" si="121"/>
        <v>20</v>
      </c>
      <c r="J88" s="152">
        <f t="shared" si="122"/>
        <v>20.32</v>
      </c>
      <c r="K88" s="386">
        <f t="shared" si="123"/>
        <v>40.32</v>
      </c>
      <c r="L88" s="386"/>
      <c r="M88" s="191">
        <f t="shared" si="124"/>
        <v>0.50396825396825395</v>
      </c>
      <c r="N88" s="152">
        <f t="shared" si="125"/>
        <v>3.4017857142857144</v>
      </c>
      <c r="O88" s="152">
        <f t="shared" si="173"/>
        <v>1.6600000000000001</v>
      </c>
      <c r="P88" s="191">
        <f t="shared" si="126"/>
        <v>0.17008928571428572</v>
      </c>
      <c r="Q88" s="191">
        <f t="shared" si="127"/>
        <v>20</v>
      </c>
      <c r="R88" s="191">
        <f t="shared" si="128"/>
        <v>0.18898809523809523</v>
      </c>
      <c r="S88" s="152">
        <f t="shared" si="129"/>
        <v>61.428946697451849</v>
      </c>
      <c r="T88" s="152">
        <f t="shared" si="130"/>
        <v>20</v>
      </c>
      <c r="U88" s="191">
        <f t="shared" si="131"/>
        <v>0.36598425196850398</v>
      </c>
      <c r="V88" s="191">
        <f t="shared" si="132"/>
        <v>2.7448818897637794</v>
      </c>
      <c r="W88" s="191">
        <f t="shared" si="133"/>
        <v>2.7016554033108067</v>
      </c>
      <c r="X88" s="175">
        <f t="shared" si="134"/>
        <v>350</v>
      </c>
      <c r="Y88" s="386">
        <f t="shared" si="174"/>
        <v>183.60289229480279</v>
      </c>
      <c r="AA88" s="191">
        <f t="shared" si="135"/>
        <v>0.19198790627362058</v>
      </c>
      <c r="AB88" s="153">
        <f t="shared" si="136"/>
        <v>1.4172335600907029</v>
      </c>
      <c r="AC88" s="153">
        <f t="shared" si="137"/>
        <v>4.7616048182941621E-2</v>
      </c>
      <c r="AD88" s="153"/>
      <c r="AE88" s="153">
        <f t="shared" si="138"/>
        <v>1.1072834645669289</v>
      </c>
      <c r="AF88" s="317">
        <f t="shared" si="139"/>
        <v>999.44296296296307</v>
      </c>
      <c r="AG88" s="463">
        <f t="shared" si="140"/>
        <v>2.9066190944881887E-2</v>
      </c>
      <c r="AI88" s="153">
        <f t="shared" si="141"/>
        <v>0.26718679433831133</v>
      </c>
      <c r="AJ88" s="153">
        <f t="shared" si="142"/>
        <v>0.36598425196850398</v>
      </c>
      <c r="AK88" s="153">
        <f t="shared" si="143"/>
        <v>1.343989501312336</v>
      </c>
      <c r="AM88" s="317">
        <f t="shared" si="144"/>
        <v>83</v>
      </c>
      <c r="AN88" s="147">
        <f t="shared" si="145"/>
        <v>183.60289229480279</v>
      </c>
      <c r="AP88">
        <f t="shared" si="146"/>
        <v>83</v>
      </c>
      <c r="AQ88">
        <f t="shared" si="147"/>
        <v>183.60289229480279</v>
      </c>
      <c r="AS88" s="5">
        <f t="shared" si="175"/>
        <v>5.446537293074587</v>
      </c>
      <c r="AT88" s="5">
        <f t="shared" si="148"/>
        <v>2.7448818897637794</v>
      </c>
      <c r="AU88" s="5">
        <f t="shared" si="176"/>
        <v>2.7016554033108076</v>
      </c>
      <c r="AV88" s="5">
        <f t="shared" si="149"/>
        <v>2.7016554033108067</v>
      </c>
      <c r="AW88" s="153">
        <f t="shared" si="177"/>
        <v>0.50396825396825384</v>
      </c>
      <c r="AX88" s="153">
        <f t="shared" si="150"/>
        <v>1.8444444444444448</v>
      </c>
      <c r="AY88" s="153">
        <f t="shared" si="151"/>
        <v>9.0769903762029785E-2</v>
      </c>
      <c r="AZ88" s="153">
        <f t="shared" si="178"/>
        <v>20.319999999999993</v>
      </c>
      <c r="BA88" s="147">
        <f t="shared" si="152"/>
        <v>5.9640482169430262</v>
      </c>
      <c r="BB88" s="147">
        <f t="shared" si="153"/>
        <v>12.123514187999998</v>
      </c>
      <c r="BC88" s="5">
        <f t="shared" si="154"/>
        <v>0.24915266497199673</v>
      </c>
      <c r="BD88" s="147">
        <f t="shared" si="155"/>
        <v>25.191933163866338</v>
      </c>
      <c r="BE88" s="5"/>
      <c r="BF88" s="153">
        <f t="shared" si="179"/>
        <v>0.1500041799748108</v>
      </c>
      <c r="BG88" s="153">
        <f t="shared" si="156"/>
        <v>0.14881835758086559</v>
      </c>
      <c r="BH88" s="153"/>
      <c r="BI88" s="463">
        <f t="shared" si="157"/>
        <v>7.8754389034704012E-3</v>
      </c>
      <c r="BJ88" s="463">
        <f t="shared" si="158"/>
        <v>1.3546666666666667E-2</v>
      </c>
      <c r="BK88" s="463">
        <f t="shared" si="159"/>
        <v>2.2950361536850346E-3</v>
      </c>
      <c r="BL88" s="463">
        <f t="shared" si="160"/>
        <v>1.4924183132530123E-2</v>
      </c>
      <c r="BM88">
        <f t="shared" si="161"/>
        <v>5.7999999999999996E-3</v>
      </c>
      <c r="BN88">
        <f t="shared" si="162"/>
        <v>6.8851084610551042E-6</v>
      </c>
      <c r="BO88" s="463">
        <f t="shared" si="163"/>
        <v>4.5577619339851723E-2</v>
      </c>
      <c r="BP88" s="147">
        <f t="shared" si="180"/>
        <v>45.577619339851722</v>
      </c>
      <c r="BQ88" s="463">
        <f t="shared" si="164"/>
        <v>4.8626234314542709E-2</v>
      </c>
      <c r="BR88" s="463"/>
      <c r="BT88" s="147">
        <f t="shared" si="181"/>
        <v>48.626234314542707</v>
      </c>
      <c r="BU88" s="463">
        <f t="shared" si="165"/>
        <v>1.8001003207932346E-2</v>
      </c>
      <c r="BV88" s="463">
        <f t="shared" si="166"/>
        <v>1.7628935228240838E-2</v>
      </c>
      <c r="BW88" s="463">
        <f t="shared" si="167"/>
        <v>0</v>
      </c>
      <c r="BX88" s="463">
        <f t="shared" si="168"/>
        <v>4.0019602727026288E-2</v>
      </c>
      <c r="BY88" s="463">
        <f t="shared" si="169"/>
        <v>3.6888888888888895E-2</v>
      </c>
      <c r="BZ88" s="147">
        <f t="shared" si="182"/>
        <v>76.908491615915182</v>
      </c>
      <c r="CA88" s="153">
        <f t="shared" si="183"/>
        <v>0.17111234527030961</v>
      </c>
      <c r="CB88" s="5">
        <f t="shared" si="184"/>
        <v>1.6600000000000001</v>
      </c>
      <c r="CC88" s="153">
        <f t="shared" si="185"/>
        <v>0.90655278704647146</v>
      </c>
      <c r="CD88" s="5">
        <f t="shared" si="186"/>
        <v>90.655278704647145</v>
      </c>
      <c r="CG88" s="59">
        <f t="shared" si="170"/>
        <v>-50</v>
      </c>
      <c r="CH88">
        <f t="shared" si="171"/>
        <v>-50</v>
      </c>
    </row>
    <row r="89" spans="5:86" x14ac:dyDescent="0.25">
      <c r="E89" s="150">
        <v>84</v>
      </c>
      <c r="F89" s="191">
        <f t="shared" si="172"/>
        <v>8.4000000000000005E-2</v>
      </c>
      <c r="G89" s="191"/>
      <c r="H89" s="191">
        <f t="shared" si="120"/>
        <v>1.6800000000000002</v>
      </c>
      <c r="I89" s="472">
        <f t="shared" si="121"/>
        <v>20</v>
      </c>
      <c r="J89" s="152">
        <f t="shared" si="122"/>
        <v>20.32</v>
      </c>
      <c r="K89" s="386">
        <f t="shared" si="123"/>
        <v>40.32</v>
      </c>
      <c r="L89" s="386"/>
      <c r="M89" s="191">
        <f t="shared" si="124"/>
        <v>0.50396825396825395</v>
      </c>
      <c r="N89" s="152">
        <f t="shared" si="125"/>
        <v>3.4017857142857144</v>
      </c>
      <c r="O89" s="152">
        <f t="shared" si="173"/>
        <v>1.6800000000000002</v>
      </c>
      <c r="P89" s="191">
        <f t="shared" si="126"/>
        <v>0.17008928571428572</v>
      </c>
      <c r="Q89" s="191">
        <f t="shared" si="127"/>
        <v>20</v>
      </c>
      <c r="R89" s="191">
        <f t="shared" si="128"/>
        <v>0.18898809523809523</v>
      </c>
      <c r="S89" s="152">
        <f t="shared" si="129"/>
        <v>60.462436431664095</v>
      </c>
      <c r="T89" s="152">
        <f t="shared" si="130"/>
        <v>20</v>
      </c>
      <c r="U89" s="191">
        <f t="shared" si="131"/>
        <v>0.37039370078740164</v>
      </c>
      <c r="V89" s="191">
        <f t="shared" si="132"/>
        <v>2.7779527559055119</v>
      </c>
      <c r="W89" s="191">
        <f t="shared" si="133"/>
        <v>2.7342054684109369</v>
      </c>
      <c r="X89" s="175">
        <f t="shared" si="134"/>
        <v>350</v>
      </c>
      <c r="Y89" s="386">
        <f t="shared" si="174"/>
        <v>181.41714357700749</v>
      </c>
      <c r="AA89" s="191">
        <f t="shared" si="135"/>
        <v>0.19198790627362058</v>
      </c>
      <c r="AB89" s="153">
        <f t="shared" si="136"/>
        <v>1.4172335600907029</v>
      </c>
      <c r="AC89" s="153">
        <f t="shared" si="137"/>
        <v>4.7616048182941621E-2</v>
      </c>
      <c r="AD89" s="153"/>
      <c r="AE89" s="153">
        <f t="shared" si="138"/>
        <v>1.1072834645669289</v>
      </c>
      <c r="AF89" s="317">
        <f t="shared" si="139"/>
        <v>1011.4844444444446</v>
      </c>
      <c r="AG89" s="463">
        <f t="shared" si="140"/>
        <v>2.9066190944881887E-2</v>
      </c>
      <c r="AI89" s="153">
        <f t="shared" si="141"/>
        <v>0.26879153425822194</v>
      </c>
      <c r="AJ89" s="153">
        <f t="shared" si="142"/>
        <v>0.37039370078740164</v>
      </c>
      <c r="AK89" s="153">
        <f t="shared" si="143"/>
        <v>1.3469291338582676</v>
      </c>
      <c r="AM89" s="317">
        <f t="shared" si="144"/>
        <v>84</v>
      </c>
      <c r="AN89" s="147">
        <f t="shared" si="145"/>
        <v>181.41714357700749</v>
      </c>
      <c r="AP89">
        <f t="shared" si="146"/>
        <v>84</v>
      </c>
      <c r="AQ89">
        <f t="shared" si="147"/>
        <v>181.41714357700749</v>
      </c>
      <c r="AS89" s="5">
        <f t="shared" si="175"/>
        <v>5.5121582243164493</v>
      </c>
      <c r="AT89" s="5">
        <f t="shared" si="148"/>
        <v>2.7779527559055119</v>
      </c>
      <c r="AU89" s="5">
        <f t="shared" si="176"/>
        <v>2.7342054684109374</v>
      </c>
      <c r="AV89" s="5">
        <f t="shared" si="149"/>
        <v>2.7342054684109369</v>
      </c>
      <c r="AW89" s="153">
        <f t="shared" si="177"/>
        <v>0.50396825396825395</v>
      </c>
      <c r="AX89" s="153">
        <f t="shared" si="150"/>
        <v>1.8666666666666669</v>
      </c>
      <c r="AY89" s="153">
        <f t="shared" si="151"/>
        <v>9.1863517060367467E-2</v>
      </c>
      <c r="AZ89" s="153">
        <f t="shared" si="178"/>
        <v>20.32</v>
      </c>
      <c r="BA89" s="147">
        <f t="shared" si="152"/>
        <v>5.9640482169430262</v>
      </c>
      <c r="BB89" s="147">
        <f t="shared" si="153"/>
        <v>12.414370752000002</v>
      </c>
      <c r="BC89" s="5">
        <f t="shared" si="154"/>
        <v>0.25519251038502083</v>
      </c>
      <c r="BD89" s="147">
        <f t="shared" si="155"/>
        <v>25.799251038502081</v>
      </c>
      <c r="BE89" s="5"/>
      <c r="BF89" s="153">
        <f t="shared" si="179"/>
        <v>0.15181145925161577</v>
      </c>
      <c r="BG89" s="153">
        <f t="shared" si="156"/>
        <v>0.15061134984087601</v>
      </c>
      <c r="BH89" s="153"/>
      <c r="BI89" s="463">
        <f t="shared" si="157"/>
        <v>8.0663517060367475E-3</v>
      </c>
      <c r="BJ89" s="463">
        <f t="shared" si="158"/>
        <v>1.3546666666666667E-2</v>
      </c>
      <c r="BK89" s="463">
        <f t="shared" si="159"/>
        <v>2.2677142947125934E-3</v>
      </c>
      <c r="BL89" s="463">
        <f t="shared" si="160"/>
        <v>1.4746514285714286E-2</v>
      </c>
      <c r="BM89">
        <f t="shared" si="161"/>
        <v>5.7999999999999996E-3</v>
      </c>
      <c r="BN89">
        <f t="shared" si="162"/>
        <v>6.8031428841377803E-6</v>
      </c>
      <c r="BO89" s="463">
        <f t="shared" si="163"/>
        <v>4.5590857800698659E-2</v>
      </c>
      <c r="BP89" s="147">
        <f t="shared" si="180"/>
        <v>45.590857800698657</v>
      </c>
      <c r="BQ89" s="463">
        <f t="shared" si="164"/>
        <v>4.9418406927480535E-2</v>
      </c>
      <c r="BR89" s="463"/>
      <c r="BT89" s="147">
        <f t="shared" si="181"/>
        <v>49.418406927480532</v>
      </c>
      <c r="BU89" s="463">
        <f t="shared" si="165"/>
        <v>1.8437375328083996E-2</v>
      </c>
      <c r="BV89" s="463">
        <f t="shared" si="166"/>
        <v>1.8056287845909031E-2</v>
      </c>
      <c r="BW89" s="463">
        <f t="shared" si="167"/>
        <v>0</v>
      </c>
      <c r="BX89" s="463">
        <f t="shared" si="168"/>
        <v>4.0992580308344635E-2</v>
      </c>
      <c r="BY89" s="463">
        <f t="shared" si="169"/>
        <v>3.7333333333333336E-2</v>
      </c>
      <c r="BZ89" s="147">
        <f t="shared" si="182"/>
        <v>78.325913641677971</v>
      </c>
      <c r="CA89" s="153">
        <f t="shared" si="183"/>
        <v>0.17333517836985715</v>
      </c>
      <c r="CB89" s="5">
        <f t="shared" si="184"/>
        <v>1.6800000000000002</v>
      </c>
      <c r="CC89" s="153">
        <f t="shared" si="185"/>
        <v>0.90647391772797514</v>
      </c>
      <c r="CD89" s="5">
        <f t="shared" si="186"/>
        <v>90.647391772797519</v>
      </c>
      <c r="CG89" s="59">
        <f t="shared" si="170"/>
        <v>-50</v>
      </c>
      <c r="CH89">
        <f t="shared" si="171"/>
        <v>-50</v>
      </c>
    </row>
    <row r="90" spans="5:86" x14ac:dyDescent="0.25">
      <c r="E90" s="150">
        <v>85</v>
      </c>
      <c r="F90" s="191">
        <f t="shared" si="172"/>
        <v>8.5000000000000006E-2</v>
      </c>
      <c r="G90" s="191"/>
      <c r="H90" s="191">
        <f t="shared" si="120"/>
        <v>1.7000000000000002</v>
      </c>
      <c r="I90" s="472">
        <f t="shared" si="121"/>
        <v>20</v>
      </c>
      <c r="J90" s="152">
        <f t="shared" si="122"/>
        <v>20.32</v>
      </c>
      <c r="K90" s="386">
        <f t="shared" si="123"/>
        <v>40.32</v>
      </c>
      <c r="L90" s="386"/>
      <c r="M90" s="191">
        <f t="shared" si="124"/>
        <v>0.50396825396825395</v>
      </c>
      <c r="N90" s="152">
        <f t="shared" si="125"/>
        <v>3.4017857142857144</v>
      </c>
      <c r="O90" s="152">
        <f t="shared" si="173"/>
        <v>1.7000000000000002</v>
      </c>
      <c r="P90" s="191">
        <f t="shared" si="126"/>
        <v>0.17008928571428572</v>
      </c>
      <c r="Q90" s="191">
        <f t="shared" si="127"/>
        <v>20</v>
      </c>
      <c r="R90" s="191">
        <f t="shared" si="128"/>
        <v>0.18898809523809523</v>
      </c>
      <c r="S90" s="152">
        <f t="shared" si="129"/>
        <v>59.518718867354075</v>
      </c>
      <c r="T90" s="152">
        <f t="shared" si="130"/>
        <v>20</v>
      </c>
      <c r="U90" s="191">
        <f t="shared" si="131"/>
        <v>0.37480314960629924</v>
      </c>
      <c r="V90" s="191">
        <f t="shared" si="132"/>
        <v>2.811023622047244</v>
      </c>
      <c r="W90" s="191">
        <f t="shared" si="133"/>
        <v>2.7667555335110667</v>
      </c>
      <c r="X90" s="175">
        <f t="shared" si="134"/>
        <v>350</v>
      </c>
      <c r="Y90" s="386">
        <f t="shared" si="174"/>
        <v>179.28282424080743</v>
      </c>
      <c r="AA90" s="191">
        <f t="shared" si="135"/>
        <v>0.19198790627362058</v>
      </c>
      <c r="AB90" s="153">
        <f t="shared" si="136"/>
        <v>1.4172335600907029</v>
      </c>
      <c r="AC90" s="153">
        <f t="shared" si="137"/>
        <v>4.7616048182941621E-2</v>
      </c>
      <c r="AD90" s="153"/>
      <c r="AE90" s="153">
        <f t="shared" si="138"/>
        <v>1.1072834645669289</v>
      </c>
      <c r="AF90" s="317">
        <f t="shared" si="139"/>
        <v>1023.5259259259261</v>
      </c>
      <c r="AG90" s="463">
        <f t="shared" si="140"/>
        <v>2.9066190944881887E-2</v>
      </c>
      <c r="AI90" s="153">
        <f t="shared" si="141"/>
        <v>0.27038675024674325</v>
      </c>
      <c r="AJ90" s="153">
        <f t="shared" si="142"/>
        <v>0.37480314960629924</v>
      </c>
      <c r="AK90" s="153">
        <f t="shared" si="143"/>
        <v>1.3498687664041995</v>
      </c>
      <c r="AM90" s="317">
        <f t="shared" si="144"/>
        <v>85</v>
      </c>
      <c r="AN90" s="147">
        <f t="shared" si="145"/>
        <v>179.28282424080743</v>
      </c>
      <c r="AP90">
        <f t="shared" si="146"/>
        <v>85</v>
      </c>
      <c r="AQ90">
        <f t="shared" si="147"/>
        <v>179.28282424080743</v>
      </c>
      <c r="AS90" s="5">
        <f t="shared" si="175"/>
        <v>5.5777791555583116</v>
      </c>
      <c r="AT90" s="5">
        <f t="shared" si="148"/>
        <v>2.811023622047244</v>
      </c>
      <c r="AU90" s="5">
        <f t="shared" si="176"/>
        <v>2.7667555335110676</v>
      </c>
      <c r="AV90" s="5">
        <f t="shared" si="149"/>
        <v>2.7667555335110667</v>
      </c>
      <c r="AW90" s="153">
        <f t="shared" si="177"/>
        <v>0.50396825396825395</v>
      </c>
      <c r="AX90" s="153">
        <f t="shared" si="150"/>
        <v>1.8888888888888891</v>
      </c>
      <c r="AY90" s="153">
        <f t="shared" si="151"/>
        <v>9.2957130358705176E-2</v>
      </c>
      <c r="AZ90" s="153">
        <f t="shared" si="178"/>
        <v>20.32</v>
      </c>
      <c r="BA90" s="147">
        <f t="shared" si="152"/>
        <v>5.9640482169430262</v>
      </c>
      <c r="BB90" s="147">
        <f t="shared" si="153"/>
        <v>12.708674700000003</v>
      </c>
      <c r="BC90" s="5">
        <f t="shared" si="154"/>
        <v>0.26130468927604533</v>
      </c>
      <c r="BD90" s="147">
        <f t="shared" si="155"/>
        <v>26.41380226093786</v>
      </c>
      <c r="BE90" s="5"/>
      <c r="BF90" s="153">
        <f t="shared" si="179"/>
        <v>0.1536187385284207</v>
      </c>
      <c r="BG90" s="153">
        <f t="shared" si="156"/>
        <v>0.15240434210088644</v>
      </c>
      <c r="BH90" s="153"/>
      <c r="BI90" s="463">
        <f t="shared" si="157"/>
        <v>8.2595508894721496E-3</v>
      </c>
      <c r="BJ90" s="463">
        <f t="shared" si="158"/>
        <v>1.3546666666666667E-2</v>
      </c>
      <c r="BK90" s="463">
        <f t="shared" si="159"/>
        <v>2.2410353030100929E-3</v>
      </c>
      <c r="BL90" s="463">
        <f t="shared" si="160"/>
        <v>1.4573025882352942E-2</v>
      </c>
      <c r="BM90">
        <f t="shared" si="161"/>
        <v>5.7999999999999996E-3</v>
      </c>
      <c r="BN90">
        <f t="shared" si="162"/>
        <v>6.7231059090302782E-6</v>
      </c>
      <c r="BO90" s="463">
        <f t="shared" si="163"/>
        <v>4.5611548068986735E-2</v>
      </c>
      <c r="BP90" s="147">
        <f t="shared" si="180"/>
        <v>45.611548068986735</v>
      </c>
      <c r="BQ90" s="463">
        <f t="shared" si="164"/>
        <v>5.0215491787279874E-2</v>
      </c>
      <c r="BR90" s="463"/>
      <c r="BT90" s="147">
        <f t="shared" si="181"/>
        <v>50.215491787279873</v>
      </c>
      <c r="BU90" s="463">
        <f t="shared" si="165"/>
        <v>1.8878973461650631E-2</v>
      </c>
      <c r="BV90" s="463">
        <f t="shared" si="166"/>
        <v>1.8488758458998403E-2</v>
      </c>
      <c r="BW90" s="463">
        <f t="shared" si="167"/>
        <v>0</v>
      </c>
      <c r="BX90" s="463">
        <f t="shared" si="168"/>
        <v>4.1977347612914058E-2</v>
      </c>
      <c r="BY90" s="463">
        <f t="shared" si="169"/>
        <v>3.7777777777777785E-2</v>
      </c>
      <c r="BZ90" s="147">
        <f t="shared" si="182"/>
        <v>79.755125390691845</v>
      </c>
      <c r="CA90" s="153">
        <f t="shared" si="183"/>
        <v>0.17558216524695847</v>
      </c>
      <c r="CB90" s="5">
        <f t="shared" si="184"/>
        <v>1.7000000000000002</v>
      </c>
      <c r="CC90" s="153">
        <f t="shared" si="185"/>
        <v>0.90638524480539651</v>
      </c>
      <c r="CD90" s="5">
        <f t="shared" si="186"/>
        <v>90.638524480539644</v>
      </c>
      <c r="CG90" s="59">
        <f t="shared" si="170"/>
        <v>-50</v>
      </c>
      <c r="CH90">
        <f t="shared" si="171"/>
        <v>-50</v>
      </c>
    </row>
    <row r="91" spans="5:86" x14ac:dyDescent="0.25">
      <c r="E91" s="150">
        <v>86</v>
      </c>
      <c r="F91" s="191">
        <f t="shared" si="172"/>
        <v>8.6000000000000007E-2</v>
      </c>
      <c r="G91" s="191"/>
      <c r="H91" s="191">
        <f t="shared" si="120"/>
        <v>1.7200000000000002</v>
      </c>
      <c r="I91" s="472">
        <f t="shared" si="121"/>
        <v>20</v>
      </c>
      <c r="J91" s="152">
        <f t="shared" si="122"/>
        <v>20.32</v>
      </c>
      <c r="K91" s="386">
        <f t="shared" si="123"/>
        <v>40.32</v>
      </c>
      <c r="L91" s="386"/>
      <c r="M91" s="191">
        <f t="shared" si="124"/>
        <v>0.50396825396825395</v>
      </c>
      <c r="N91" s="152">
        <f t="shared" si="125"/>
        <v>3.4017857142857144</v>
      </c>
      <c r="O91" s="152">
        <f t="shared" si="173"/>
        <v>1.7200000000000002</v>
      </c>
      <c r="P91" s="191">
        <f t="shared" si="126"/>
        <v>0.17008928571428572</v>
      </c>
      <c r="Q91" s="191">
        <f t="shared" si="127"/>
        <v>20</v>
      </c>
      <c r="R91" s="191">
        <f t="shared" si="128"/>
        <v>0.18898809523809523</v>
      </c>
      <c r="S91" s="152">
        <f t="shared" si="129"/>
        <v>58.596999485048265</v>
      </c>
      <c r="T91" s="152">
        <f t="shared" si="130"/>
        <v>20</v>
      </c>
      <c r="U91" s="191">
        <f t="shared" si="131"/>
        <v>0.37921259842519689</v>
      </c>
      <c r="V91" s="191">
        <f t="shared" si="132"/>
        <v>2.8440944881889765</v>
      </c>
      <c r="W91" s="191">
        <f t="shared" si="133"/>
        <v>2.799305598611197</v>
      </c>
      <c r="X91" s="175">
        <f t="shared" si="134"/>
        <v>350</v>
      </c>
      <c r="Y91" s="386">
        <f t="shared" si="174"/>
        <v>177.19814023800734</v>
      </c>
      <c r="AA91" s="191">
        <f t="shared" si="135"/>
        <v>0.19198790627362058</v>
      </c>
      <c r="AB91" s="153">
        <f t="shared" si="136"/>
        <v>1.4172335600907029</v>
      </c>
      <c r="AC91" s="153">
        <f t="shared" si="137"/>
        <v>4.7616048182941621E-2</v>
      </c>
      <c r="AD91" s="153"/>
      <c r="AE91" s="153">
        <f t="shared" si="138"/>
        <v>1.1072834645669289</v>
      </c>
      <c r="AF91" s="317">
        <f t="shared" si="139"/>
        <v>1035.5674074074075</v>
      </c>
      <c r="AG91" s="463">
        <f t="shared" si="140"/>
        <v>2.9066190944881887E-2</v>
      </c>
      <c r="AI91" s="153">
        <f t="shared" si="141"/>
        <v>0.27197260988765126</v>
      </c>
      <c r="AJ91" s="153">
        <f t="shared" si="142"/>
        <v>0.37921259842519689</v>
      </c>
      <c r="AK91" s="153">
        <f t="shared" si="143"/>
        <v>1.3528083989501312</v>
      </c>
      <c r="AM91" s="317">
        <f t="shared" si="144"/>
        <v>86</v>
      </c>
      <c r="AN91" s="147">
        <f t="shared" si="145"/>
        <v>177.19814023800734</v>
      </c>
      <c r="AP91">
        <f t="shared" si="146"/>
        <v>86</v>
      </c>
      <c r="AQ91">
        <f t="shared" si="147"/>
        <v>177.19814023800734</v>
      </c>
      <c r="AS91" s="5">
        <f t="shared" si="175"/>
        <v>5.6434000868001739</v>
      </c>
      <c r="AT91" s="5">
        <f t="shared" si="148"/>
        <v>2.8440944881889765</v>
      </c>
      <c r="AU91" s="5">
        <f t="shared" si="176"/>
        <v>2.7993055986111974</v>
      </c>
      <c r="AV91" s="5">
        <f t="shared" si="149"/>
        <v>2.799305598611197</v>
      </c>
      <c r="AW91" s="153">
        <f t="shared" si="177"/>
        <v>0.50396825396825395</v>
      </c>
      <c r="AX91" s="153">
        <f t="shared" si="150"/>
        <v>1.9111111111111112</v>
      </c>
      <c r="AY91" s="153">
        <f t="shared" si="151"/>
        <v>9.4050743657042885E-2</v>
      </c>
      <c r="AZ91" s="153">
        <f t="shared" si="178"/>
        <v>20.319999999999997</v>
      </c>
      <c r="BA91" s="147">
        <f t="shared" si="152"/>
        <v>5.9640482169430262</v>
      </c>
      <c r="BB91" s="147">
        <f t="shared" si="153"/>
        <v>13.006426032</v>
      </c>
      <c r="BC91" s="5">
        <f t="shared" si="154"/>
        <v>0.26748920164507001</v>
      </c>
      <c r="BD91" s="147">
        <f t="shared" si="155"/>
        <v>27.035586831173667</v>
      </c>
      <c r="BE91" s="5"/>
      <c r="BF91" s="153">
        <f t="shared" si="179"/>
        <v>0.15542601780522566</v>
      </c>
      <c r="BG91" s="153">
        <f t="shared" si="156"/>
        <v>0.15419733436089686</v>
      </c>
      <c r="BH91" s="153"/>
      <c r="BI91" s="463">
        <f t="shared" si="157"/>
        <v>8.4550364537766143E-3</v>
      </c>
      <c r="BJ91" s="463">
        <f t="shared" si="158"/>
        <v>1.3546666666666667E-2</v>
      </c>
      <c r="BK91" s="463">
        <f t="shared" si="159"/>
        <v>2.2149767529750916E-3</v>
      </c>
      <c r="BL91" s="463">
        <f t="shared" si="160"/>
        <v>1.4403572093023257E-2</v>
      </c>
      <c r="BM91">
        <f t="shared" si="161"/>
        <v>5.7999999999999996E-3</v>
      </c>
      <c r="BN91">
        <f t="shared" si="162"/>
        <v>6.644930258925275E-6</v>
      </c>
      <c r="BO91" s="463">
        <f t="shared" si="163"/>
        <v>4.5639522383762871E-2</v>
      </c>
      <c r="BP91" s="147">
        <f t="shared" si="180"/>
        <v>45.639522383762873</v>
      </c>
      <c r="BQ91" s="463">
        <f t="shared" si="164"/>
        <v>5.1017488893940761E-2</v>
      </c>
      <c r="BR91" s="463"/>
      <c r="BT91" s="147">
        <f t="shared" si="181"/>
        <v>51.017488893940758</v>
      </c>
      <c r="BU91" s="463">
        <f t="shared" si="165"/>
        <v>1.9325797608632261E-2</v>
      </c>
      <c r="BV91" s="463">
        <f t="shared" si="166"/>
        <v>1.8926347067508956E-2</v>
      </c>
      <c r="BW91" s="463">
        <f t="shared" si="167"/>
        <v>0</v>
      </c>
      <c r="BX91" s="463">
        <f t="shared" si="168"/>
        <v>4.2973909573783428E-2</v>
      </c>
      <c r="BY91" s="463">
        <f t="shared" si="169"/>
        <v>3.8222222222222234E-2</v>
      </c>
      <c r="BZ91" s="147">
        <f t="shared" si="182"/>
        <v>81.196131796005659</v>
      </c>
      <c r="CA91" s="153">
        <f t="shared" si="183"/>
        <v>0.17785314307370928</v>
      </c>
      <c r="CB91" s="5">
        <f t="shared" si="184"/>
        <v>1.7200000000000002</v>
      </c>
      <c r="CC91" s="153">
        <f t="shared" si="185"/>
        <v>0.90628719417896397</v>
      </c>
      <c r="CD91" s="5">
        <f t="shared" si="186"/>
        <v>90.628719417896392</v>
      </c>
      <c r="CG91" s="59">
        <f t="shared" si="170"/>
        <v>-50</v>
      </c>
      <c r="CH91">
        <f t="shared" si="171"/>
        <v>-50</v>
      </c>
    </row>
    <row r="92" spans="5:86" x14ac:dyDescent="0.25">
      <c r="E92" s="150">
        <v>87</v>
      </c>
      <c r="F92" s="191">
        <f t="shared" si="172"/>
        <v>8.7000000000000008E-2</v>
      </c>
      <c r="G92" s="191"/>
      <c r="H92" s="191">
        <f t="shared" si="120"/>
        <v>1.7400000000000002</v>
      </c>
      <c r="I92" s="472">
        <f t="shared" si="121"/>
        <v>20</v>
      </c>
      <c r="J92" s="152">
        <f t="shared" si="122"/>
        <v>20.32</v>
      </c>
      <c r="K92" s="386">
        <f t="shared" si="123"/>
        <v>40.32</v>
      </c>
      <c r="L92" s="386"/>
      <c r="M92" s="191">
        <f t="shared" si="124"/>
        <v>0.50396825396825395</v>
      </c>
      <c r="N92" s="152">
        <f t="shared" si="125"/>
        <v>3.4017857142857144</v>
      </c>
      <c r="O92" s="152">
        <f t="shared" si="173"/>
        <v>1.7400000000000002</v>
      </c>
      <c r="P92" s="191">
        <f t="shared" si="126"/>
        <v>0.17008928571428572</v>
      </c>
      <c r="Q92" s="191">
        <f t="shared" si="127"/>
        <v>20</v>
      </c>
      <c r="R92" s="191">
        <f t="shared" si="128"/>
        <v>0.18898809523809523</v>
      </c>
      <c r="S92" s="152">
        <f t="shared" si="129"/>
        <v>57.696520303259781</v>
      </c>
      <c r="T92" s="152">
        <f t="shared" si="130"/>
        <v>20</v>
      </c>
      <c r="U92" s="191">
        <f t="shared" si="131"/>
        <v>0.38362204724409454</v>
      </c>
      <c r="V92" s="191">
        <f t="shared" si="132"/>
        <v>2.877165354330709</v>
      </c>
      <c r="W92" s="191">
        <f t="shared" si="133"/>
        <v>2.8318556637113272</v>
      </c>
      <c r="X92" s="175">
        <f t="shared" si="134"/>
        <v>350</v>
      </c>
      <c r="Y92" s="386">
        <f t="shared" si="174"/>
        <v>175.16138000538655</v>
      </c>
      <c r="AA92" s="191">
        <f t="shared" si="135"/>
        <v>0.19198790627362058</v>
      </c>
      <c r="AB92" s="153">
        <f t="shared" si="136"/>
        <v>1.4172335600907029</v>
      </c>
      <c r="AC92" s="153">
        <f t="shared" si="137"/>
        <v>4.7616048182941621E-2</v>
      </c>
      <c r="AD92" s="153"/>
      <c r="AE92" s="153">
        <f t="shared" si="138"/>
        <v>1.1072834645669289</v>
      </c>
      <c r="AF92" s="317">
        <f t="shared" si="139"/>
        <v>1047.6088888888892</v>
      </c>
      <c r="AG92" s="463">
        <f t="shared" si="140"/>
        <v>2.9066190944881887E-2</v>
      </c>
      <c r="AI92" s="153">
        <f t="shared" si="141"/>
        <v>0.27354927590693118</v>
      </c>
      <c r="AJ92" s="153">
        <f t="shared" si="142"/>
        <v>0.38362204724409454</v>
      </c>
      <c r="AK92" s="153">
        <f t="shared" si="143"/>
        <v>1.355748031496063</v>
      </c>
      <c r="AM92" s="317">
        <f t="shared" si="144"/>
        <v>87.000000000000014</v>
      </c>
      <c r="AN92" s="147">
        <f t="shared" si="145"/>
        <v>175.16138000538655</v>
      </c>
      <c r="AP92">
        <f t="shared" si="146"/>
        <v>87.000000000000014</v>
      </c>
      <c r="AQ92">
        <f t="shared" si="147"/>
        <v>175.16138000538655</v>
      </c>
      <c r="AS92" s="5">
        <f t="shared" si="175"/>
        <v>5.7090210180420362</v>
      </c>
      <c r="AT92" s="5">
        <f t="shared" si="148"/>
        <v>2.877165354330709</v>
      </c>
      <c r="AU92" s="5">
        <f t="shared" si="176"/>
        <v>2.8318556637113272</v>
      </c>
      <c r="AV92" s="5">
        <f t="shared" si="149"/>
        <v>2.8318556637113272</v>
      </c>
      <c r="AW92" s="153">
        <f t="shared" si="177"/>
        <v>0.50396825396825407</v>
      </c>
      <c r="AX92" s="153">
        <f t="shared" si="150"/>
        <v>1.9333333333333333</v>
      </c>
      <c r="AY92" s="153">
        <f t="shared" si="151"/>
        <v>9.514435695538058E-2</v>
      </c>
      <c r="AZ92" s="153">
        <f t="shared" si="178"/>
        <v>20.32</v>
      </c>
      <c r="BA92" s="147">
        <f t="shared" si="152"/>
        <v>5.9640482169430262</v>
      </c>
      <c r="BB92" s="147">
        <f t="shared" si="153"/>
        <v>13.307624748</v>
      </c>
      <c r="BC92" s="5">
        <f t="shared" si="154"/>
        <v>0.27374604749209502</v>
      </c>
      <c r="BD92" s="147">
        <f t="shared" si="155"/>
        <v>27.664604749209502</v>
      </c>
      <c r="BE92" s="5"/>
      <c r="BF92" s="153">
        <f t="shared" si="179"/>
        <v>0.15723329708203063</v>
      </c>
      <c r="BG92" s="153">
        <f t="shared" si="156"/>
        <v>0.15599032662090728</v>
      </c>
      <c r="BH92" s="153"/>
      <c r="BI92" s="463">
        <f t="shared" si="157"/>
        <v>8.6528083989501348E-3</v>
      </c>
      <c r="BJ92" s="463">
        <f t="shared" si="158"/>
        <v>1.3546666666666667E-2</v>
      </c>
      <c r="BK92" s="463">
        <f t="shared" si="159"/>
        <v>2.1895172500673316E-3</v>
      </c>
      <c r="BL92" s="463">
        <f t="shared" si="160"/>
        <v>1.423801379310345E-2</v>
      </c>
      <c r="BM92">
        <f t="shared" si="161"/>
        <v>5.7999999999999996E-3</v>
      </c>
      <c r="BN92">
        <f t="shared" si="162"/>
        <v>6.5685517502019951E-6</v>
      </c>
      <c r="BO92" s="463">
        <f t="shared" si="163"/>
        <v>4.5674620729770958E-2</v>
      </c>
      <c r="BP92" s="147">
        <f t="shared" si="180"/>
        <v>45.674620729770957</v>
      </c>
      <c r="BQ92" s="463">
        <f t="shared" si="164"/>
        <v>5.1824398247463169E-2</v>
      </c>
      <c r="BR92" s="463"/>
      <c r="BT92" s="147">
        <f t="shared" si="181"/>
        <v>51.824398247463172</v>
      </c>
      <c r="BU92" s="463">
        <f t="shared" si="165"/>
        <v>1.9777847769028883E-2</v>
      </c>
      <c r="BV92" s="463">
        <f t="shared" si="166"/>
        <v>1.9369053671440681E-2</v>
      </c>
      <c r="BW92" s="463">
        <f t="shared" si="167"/>
        <v>0</v>
      </c>
      <c r="BX92" s="463">
        <f t="shared" si="168"/>
        <v>4.398227118413979E-2</v>
      </c>
      <c r="BY92" s="463">
        <f t="shared" si="169"/>
        <v>3.8666666666666676E-2</v>
      </c>
      <c r="BZ92" s="147">
        <f t="shared" si="182"/>
        <v>82.648937850806462</v>
      </c>
      <c r="CA92" s="153">
        <f t="shared" si="183"/>
        <v>0.18014795682804058</v>
      </c>
      <c r="CB92" s="5">
        <f t="shared" si="184"/>
        <v>1.7400000000000002</v>
      </c>
      <c r="CC92" s="153">
        <f t="shared" si="185"/>
        <v>0.90618016898779341</v>
      </c>
      <c r="CD92" s="5">
        <f t="shared" si="186"/>
        <v>90.618016898779345</v>
      </c>
      <c r="CG92" s="59">
        <f t="shared" si="170"/>
        <v>-50</v>
      </c>
      <c r="CH92">
        <f t="shared" si="171"/>
        <v>-50</v>
      </c>
    </row>
    <row r="93" spans="5:86" x14ac:dyDescent="0.25">
      <c r="E93" s="150">
        <v>88</v>
      </c>
      <c r="F93" s="191">
        <f t="shared" si="172"/>
        <v>8.8000000000000009E-2</v>
      </c>
      <c r="G93" s="191"/>
      <c r="H93" s="191">
        <f t="shared" si="120"/>
        <v>1.7600000000000002</v>
      </c>
      <c r="I93" s="472">
        <f t="shared" si="121"/>
        <v>20</v>
      </c>
      <c r="J93" s="152">
        <f t="shared" si="122"/>
        <v>20.32</v>
      </c>
      <c r="K93" s="386">
        <f t="shared" si="123"/>
        <v>40.32</v>
      </c>
      <c r="L93" s="386"/>
      <c r="M93" s="191">
        <f t="shared" si="124"/>
        <v>0.50396825396825395</v>
      </c>
      <c r="N93" s="152">
        <f t="shared" si="125"/>
        <v>3.4017857142857144</v>
      </c>
      <c r="O93" s="152">
        <f t="shared" si="173"/>
        <v>1.7600000000000002</v>
      </c>
      <c r="P93" s="191">
        <f t="shared" si="126"/>
        <v>0.17008928571428572</v>
      </c>
      <c r="Q93" s="191">
        <f t="shared" si="127"/>
        <v>20</v>
      </c>
      <c r="R93" s="191">
        <f t="shared" si="128"/>
        <v>0.18898809523809523</v>
      </c>
      <c r="S93" s="152">
        <f t="shared" si="129"/>
        <v>56.816557802613559</v>
      </c>
      <c r="T93" s="152">
        <f t="shared" si="130"/>
        <v>20</v>
      </c>
      <c r="U93" s="191">
        <f t="shared" si="131"/>
        <v>0.3880314960629922</v>
      </c>
      <c r="V93" s="191">
        <f t="shared" si="132"/>
        <v>2.9102362204724415</v>
      </c>
      <c r="W93" s="191">
        <f t="shared" si="133"/>
        <v>2.8644057288114575</v>
      </c>
      <c r="X93" s="175">
        <f t="shared" si="134"/>
        <v>350</v>
      </c>
      <c r="Y93" s="386">
        <f t="shared" si="174"/>
        <v>173.17090977805265</v>
      </c>
      <c r="AA93" s="191">
        <f t="shared" si="135"/>
        <v>0.19198790627362058</v>
      </c>
      <c r="AB93" s="153">
        <f t="shared" si="136"/>
        <v>1.4172335600907029</v>
      </c>
      <c r="AC93" s="153">
        <f t="shared" si="137"/>
        <v>4.7616048182941621E-2</v>
      </c>
      <c r="AD93" s="153"/>
      <c r="AE93" s="153">
        <f t="shared" si="138"/>
        <v>1.1072834645669289</v>
      </c>
      <c r="AF93" s="317">
        <f t="shared" si="139"/>
        <v>1059.6503703703706</v>
      </c>
      <c r="AG93" s="463">
        <f t="shared" si="140"/>
        <v>2.9066190944881887E-2</v>
      </c>
      <c r="AI93" s="153">
        <f t="shared" si="141"/>
        <v>0.27511690636766067</v>
      </c>
      <c r="AJ93" s="153">
        <f t="shared" si="142"/>
        <v>0.3880314960629922</v>
      </c>
      <c r="AK93" s="153">
        <f t="shared" si="143"/>
        <v>1.3586876640419947</v>
      </c>
      <c r="AM93" s="317">
        <f t="shared" si="144"/>
        <v>88.000000000000014</v>
      </c>
      <c r="AN93" s="147">
        <f t="shared" si="145"/>
        <v>173.17090977805265</v>
      </c>
      <c r="AP93">
        <f t="shared" si="146"/>
        <v>88.000000000000014</v>
      </c>
      <c r="AQ93">
        <f t="shared" si="147"/>
        <v>173.17090977805265</v>
      </c>
      <c r="AS93" s="5">
        <f t="shared" si="175"/>
        <v>5.7746419492838985</v>
      </c>
      <c r="AT93" s="5">
        <f t="shared" si="148"/>
        <v>2.9102362204724415</v>
      </c>
      <c r="AU93" s="5">
        <f t="shared" si="176"/>
        <v>2.8644057288114571</v>
      </c>
      <c r="AV93" s="5">
        <f t="shared" si="149"/>
        <v>2.8644057288114575</v>
      </c>
      <c r="AW93" s="153">
        <f t="shared" si="177"/>
        <v>0.50396825396825407</v>
      </c>
      <c r="AX93" s="153">
        <f t="shared" si="150"/>
        <v>1.9555555555555564</v>
      </c>
      <c r="AY93" s="153">
        <f t="shared" si="151"/>
        <v>9.6237970253718289E-2</v>
      </c>
      <c r="AZ93" s="153">
        <f t="shared" si="178"/>
        <v>20.320000000000007</v>
      </c>
      <c r="BA93" s="147">
        <f t="shared" si="152"/>
        <v>5.9640482169430262</v>
      </c>
      <c r="BB93" s="147">
        <f t="shared" si="153"/>
        <v>13.612270848000001</v>
      </c>
      <c r="BC93" s="5">
        <f t="shared" si="154"/>
        <v>0.28007522681712027</v>
      </c>
      <c r="BD93" s="147">
        <f t="shared" si="155"/>
        <v>28.300856015045358</v>
      </c>
      <c r="BE93" s="5"/>
      <c r="BF93" s="153">
        <f t="shared" si="179"/>
        <v>0.15904057635883559</v>
      </c>
      <c r="BG93" s="153">
        <f t="shared" si="156"/>
        <v>0.15778331888091771</v>
      </c>
      <c r="BH93" s="153"/>
      <c r="BI93" s="463">
        <f t="shared" si="157"/>
        <v>8.8528667249927143E-3</v>
      </c>
      <c r="BJ93" s="463">
        <f t="shared" si="158"/>
        <v>1.354666666666667E-2</v>
      </c>
      <c r="BK93" s="463">
        <f t="shared" si="159"/>
        <v>2.164636372225658E-3</v>
      </c>
      <c r="BL93" s="463">
        <f t="shared" si="160"/>
        <v>1.4076218181818185E-2</v>
      </c>
      <c r="BM93">
        <f t="shared" si="161"/>
        <v>5.7999999999999996E-3</v>
      </c>
      <c r="BN93">
        <f t="shared" si="162"/>
        <v>6.4939091166769735E-6</v>
      </c>
      <c r="BO93" s="463">
        <f t="shared" si="163"/>
        <v>4.5716690397742128E-2</v>
      </c>
      <c r="BP93" s="147">
        <f t="shared" si="180"/>
        <v>45.716690397742127</v>
      </c>
      <c r="BQ93" s="463">
        <f t="shared" si="164"/>
        <v>5.263621984784711E-2</v>
      </c>
      <c r="BR93" s="463"/>
      <c r="BT93" s="147">
        <f t="shared" si="181"/>
        <v>52.636219847847109</v>
      </c>
      <c r="BU93" s="463">
        <f t="shared" si="165"/>
        <v>2.0235123942840494E-2</v>
      </c>
      <c r="BV93" s="463">
        <f t="shared" si="166"/>
        <v>1.9816878270793582E-2</v>
      </c>
      <c r="BW93" s="463">
        <f t="shared" si="167"/>
        <v>0</v>
      </c>
      <c r="BX93" s="463">
        <f t="shared" si="168"/>
        <v>4.5002437497371255E-2</v>
      </c>
      <c r="BY93" s="463">
        <f t="shared" si="169"/>
        <v>3.9111111111111131E-2</v>
      </c>
      <c r="BZ93" s="147">
        <f t="shared" si="182"/>
        <v>84.11354860848239</v>
      </c>
      <c r="CA93" s="153">
        <f t="shared" si="183"/>
        <v>0.18246645885407162</v>
      </c>
      <c r="CB93" s="5">
        <f t="shared" si="184"/>
        <v>1.7600000000000002</v>
      </c>
      <c r="CC93" s="153">
        <f t="shared" si="185"/>
        <v>0.90606455106477624</v>
      </c>
      <c r="CD93" s="5">
        <f t="shared" si="186"/>
        <v>90.606455106477625</v>
      </c>
      <c r="CG93" s="59">
        <f t="shared" si="170"/>
        <v>-50</v>
      </c>
      <c r="CH93">
        <f t="shared" si="171"/>
        <v>-50</v>
      </c>
    </row>
    <row r="94" spans="5:86" x14ac:dyDescent="0.25">
      <c r="E94" s="150">
        <v>89</v>
      </c>
      <c r="F94" s="191">
        <f t="shared" si="172"/>
        <v>8.900000000000001E-2</v>
      </c>
      <c r="G94" s="191"/>
      <c r="H94" s="191">
        <f t="shared" si="120"/>
        <v>1.7800000000000002</v>
      </c>
      <c r="I94" s="472">
        <f t="shared" si="121"/>
        <v>20</v>
      </c>
      <c r="J94" s="152">
        <f t="shared" si="122"/>
        <v>20.32</v>
      </c>
      <c r="K94" s="386">
        <f t="shared" si="123"/>
        <v>40.32</v>
      </c>
      <c r="L94" s="386"/>
      <c r="M94" s="191">
        <f t="shared" si="124"/>
        <v>0.50396825396825395</v>
      </c>
      <c r="N94" s="152">
        <f t="shared" si="125"/>
        <v>3.4017857142857144</v>
      </c>
      <c r="O94" s="152">
        <f t="shared" si="173"/>
        <v>1.7800000000000002</v>
      </c>
      <c r="P94" s="191">
        <f t="shared" si="126"/>
        <v>0.17008928571428572</v>
      </c>
      <c r="Q94" s="191">
        <f t="shared" si="127"/>
        <v>20</v>
      </c>
      <c r="R94" s="191">
        <f t="shared" si="128"/>
        <v>0.18898809523809523</v>
      </c>
      <c r="S94" s="152">
        <f t="shared" si="129"/>
        <v>55.956420989921241</v>
      </c>
      <c r="T94" s="152">
        <f t="shared" si="130"/>
        <v>20</v>
      </c>
      <c r="U94" s="191">
        <f t="shared" si="131"/>
        <v>0.39244094488188985</v>
      </c>
      <c r="V94" s="191">
        <f t="shared" si="132"/>
        <v>2.9433070866141735</v>
      </c>
      <c r="W94" s="191">
        <f t="shared" si="133"/>
        <v>2.8969557939115878</v>
      </c>
      <c r="X94" s="175">
        <f t="shared" si="134"/>
        <v>350</v>
      </c>
      <c r="Y94" s="386">
        <f t="shared" si="174"/>
        <v>171.22516921874865</v>
      </c>
      <c r="AA94" s="191">
        <f t="shared" si="135"/>
        <v>0.19198790627362058</v>
      </c>
      <c r="AB94" s="153">
        <f t="shared" si="136"/>
        <v>1.4172335600907029</v>
      </c>
      <c r="AC94" s="153">
        <f t="shared" si="137"/>
        <v>4.7616048182941621E-2</v>
      </c>
      <c r="AD94" s="153"/>
      <c r="AE94" s="153">
        <f t="shared" si="138"/>
        <v>1.1072834645669289</v>
      </c>
      <c r="AF94" s="317">
        <f t="shared" si="139"/>
        <v>1071.6918518518521</v>
      </c>
      <c r="AG94" s="463">
        <f t="shared" si="140"/>
        <v>2.9066190944881887E-2</v>
      </c>
      <c r="AI94" s="153">
        <f t="shared" si="141"/>
        <v>0.27667565485495471</v>
      </c>
      <c r="AJ94" s="153">
        <f t="shared" si="142"/>
        <v>0.39244094488188985</v>
      </c>
      <c r="AK94" s="153">
        <f t="shared" si="143"/>
        <v>1.3616272965879266</v>
      </c>
      <c r="AM94" s="317">
        <f t="shared" si="144"/>
        <v>89.000000000000014</v>
      </c>
      <c r="AN94" s="147">
        <f t="shared" si="145"/>
        <v>171.22516921874865</v>
      </c>
      <c r="AP94">
        <f t="shared" si="146"/>
        <v>89.000000000000014</v>
      </c>
      <c r="AQ94">
        <f t="shared" si="147"/>
        <v>171.22516921874865</v>
      </c>
      <c r="AS94" s="5">
        <f t="shared" si="175"/>
        <v>5.8402628805257626</v>
      </c>
      <c r="AT94" s="5">
        <f t="shared" si="148"/>
        <v>2.9433070866141735</v>
      </c>
      <c r="AU94" s="5">
        <f t="shared" si="176"/>
        <v>2.8969557939115891</v>
      </c>
      <c r="AV94" s="5">
        <f t="shared" si="149"/>
        <v>2.8969557939115878</v>
      </c>
      <c r="AW94" s="153">
        <f t="shared" si="177"/>
        <v>0.50396825396825384</v>
      </c>
      <c r="AX94" s="153">
        <f t="shared" si="150"/>
        <v>1.9777777777777779</v>
      </c>
      <c r="AY94" s="153">
        <f t="shared" si="151"/>
        <v>9.7331583552056039E-2</v>
      </c>
      <c r="AZ94" s="153">
        <f t="shared" si="178"/>
        <v>20.31999999999999</v>
      </c>
      <c r="BA94" s="147">
        <f t="shared" si="152"/>
        <v>5.9640482169430262</v>
      </c>
      <c r="BB94" s="147">
        <f t="shared" si="153"/>
        <v>13.920364331999998</v>
      </c>
      <c r="BC94" s="5">
        <f t="shared" si="154"/>
        <v>0.28647673962014608</v>
      </c>
      <c r="BD94" s="147">
        <f t="shared" si="155"/>
        <v>28.944340628681275</v>
      </c>
      <c r="BE94" s="5"/>
      <c r="BF94" s="153">
        <f t="shared" si="179"/>
        <v>0.16084785563564052</v>
      </c>
      <c r="BG94" s="153">
        <f t="shared" si="156"/>
        <v>0.15957631114092818</v>
      </c>
      <c r="BH94" s="153"/>
      <c r="BI94" s="463">
        <f t="shared" si="157"/>
        <v>9.0552114319043496E-3</v>
      </c>
      <c r="BJ94" s="463">
        <f t="shared" si="158"/>
        <v>1.3546666666666667E-2</v>
      </c>
      <c r="BK94" s="463">
        <f t="shared" si="159"/>
        <v>2.1403146152343582E-3</v>
      </c>
      <c r="BL94" s="463">
        <f t="shared" si="160"/>
        <v>1.3918058426966293E-2</v>
      </c>
      <c r="BM94">
        <f t="shared" si="161"/>
        <v>5.7999999999999996E-3</v>
      </c>
      <c r="BN94">
        <f t="shared" si="162"/>
        <v>6.4209438457030741E-6</v>
      </c>
      <c r="BO94" s="463">
        <f t="shared" si="163"/>
        <v>4.5765585574328506E-2</v>
      </c>
      <c r="BP94" s="147">
        <f t="shared" si="180"/>
        <v>45.765585574328504</v>
      </c>
      <c r="BQ94" s="463">
        <f t="shared" si="164"/>
        <v>5.3452953695092599E-2</v>
      </c>
      <c r="BR94" s="463"/>
      <c r="BT94" s="147">
        <f t="shared" si="181"/>
        <v>53.452953695092596</v>
      </c>
      <c r="BU94" s="463">
        <f t="shared" si="165"/>
        <v>2.0697626130067086E-2</v>
      </c>
      <c r="BV94" s="463">
        <f t="shared" si="166"/>
        <v>2.0269820865567674E-2</v>
      </c>
      <c r="BW94" s="463">
        <f t="shared" si="167"/>
        <v>0</v>
      </c>
      <c r="BX94" s="463">
        <f t="shared" si="168"/>
        <v>4.6034413627130503E-2</v>
      </c>
      <c r="BY94" s="463">
        <f t="shared" si="169"/>
        <v>3.9555555555555566E-2</v>
      </c>
      <c r="BZ94" s="147">
        <f t="shared" si="182"/>
        <v>85.589969182686076</v>
      </c>
      <c r="CA94" s="153">
        <f t="shared" si="183"/>
        <v>0.18480850845210717</v>
      </c>
      <c r="CB94" s="5">
        <f t="shared" si="184"/>
        <v>1.7800000000000002</v>
      </c>
      <c r="CC94" s="153">
        <f t="shared" si="185"/>
        <v>0.90594070228365364</v>
      </c>
      <c r="CD94" s="5">
        <f t="shared" si="186"/>
        <v>90.594070228365368</v>
      </c>
      <c r="CG94" s="59">
        <f t="shared" si="170"/>
        <v>-50</v>
      </c>
      <c r="CH94">
        <f t="shared" si="171"/>
        <v>-50</v>
      </c>
    </row>
    <row r="95" spans="5:86" x14ac:dyDescent="0.25">
      <c r="E95" s="150">
        <v>90</v>
      </c>
      <c r="F95" s="191">
        <f t="shared" si="172"/>
        <v>9.0000000000000011E-2</v>
      </c>
      <c r="G95" s="191"/>
      <c r="H95" s="191">
        <f t="shared" si="120"/>
        <v>1.8000000000000003</v>
      </c>
      <c r="I95" s="472">
        <f t="shared" si="121"/>
        <v>20</v>
      </c>
      <c r="J95" s="152">
        <f t="shared" si="122"/>
        <v>20.32</v>
      </c>
      <c r="K95" s="386">
        <f t="shared" si="123"/>
        <v>40.32</v>
      </c>
      <c r="L95" s="386"/>
      <c r="M95" s="191">
        <f t="shared" si="124"/>
        <v>0.50396825396825395</v>
      </c>
      <c r="N95" s="152">
        <f t="shared" si="125"/>
        <v>3.4017857142857144</v>
      </c>
      <c r="O95" s="152">
        <f t="shared" si="173"/>
        <v>1.8000000000000003</v>
      </c>
      <c r="P95" s="191">
        <f t="shared" si="126"/>
        <v>0.17008928571428572</v>
      </c>
      <c r="Q95" s="191">
        <f t="shared" si="127"/>
        <v>20</v>
      </c>
      <c r="R95" s="191">
        <f t="shared" si="128"/>
        <v>0.18898809523809523</v>
      </c>
      <c r="S95" s="152">
        <f t="shared" si="129"/>
        <v>55.115449591320747</v>
      </c>
      <c r="T95" s="152">
        <f t="shared" si="130"/>
        <v>20</v>
      </c>
      <c r="U95" s="191">
        <f t="shared" si="131"/>
        <v>0.39685039370078745</v>
      </c>
      <c r="V95" s="191">
        <f t="shared" si="132"/>
        <v>2.9763779527559056</v>
      </c>
      <c r="W95" s="191">
        <f t="shared" si="133"/>
        <v>2.929505859011718</v>
      </c>
      <c r="X95" s="175">
        <f t="shared" si="134"/>
        <v>350</v>
      </c>
      <c r="Y95" s="386">
        <f t="shared" si="174"/>
        <v>169.32266733854038</v>
      </c>
      <c r="AA95" s="191">
        <f t="shared" si="135"/>
        <v>0.19198790627362058</v>
      </c>
      <c r="AB95" s="153">
        <f t="shared" si="136"/>
        <v>1.4172335600907029</v>
      </c>
      <c r="AC95" s="153">
        <f t="shared" si="137"/>
        <v>4.7616048182941621E-2</v>
      </c>
      <c r="AD95" s="153"/>
      <c r="AE95" s="153">
        <f t="shared" si="138"/>
        <v>1.1072834645669289</v>
      </c>
      <c r="AF95" s="317">
        <f t="shared" si="139"/>
        <v>1083.7333333333336</v>
      </c>
      <c r="AG95" s="463">
        <f t="shared" si="140"/>
        <v>2.9066190944881887E-2</v>
      </c>
      <c r="AI95" s="153">
        <f t="shared" si="141"/>
        <v>0.27822567065158427</v>
      </c>
      <c r="AJ95" s="153">
        <f t="shared" si="142"/>
        <v>0.39685039370078745</v>
      </c>
      <c r="AK95" s="153">
        <f t="shared" si="143"/>
        <v>1.3645669291338582</v>
      </c>
      <c r="AM95" s="317">
        <f t="shared" si="144"/>
        <v>90.000000000000014</v>
      </c>
      <c r="AN95" s="147">
        <f t="shared" si="145"/>
        <v>169.32266733854038</v>
      </c>
      <c r="AP95">
        <f t="shared" si="146"/>
        <v>90.000000000000014</v>
      </c>
      <c r="AQ95">
        <f t="shared" si="147"/>
        <v>169.32266733854038</v>
      </c>
      <c r="AS95" s="5">
        <f t="shared" si="175"/>
        <v>5.9058838117676222</v>
      </c>
      <c r="AT95" s="5">
        <f t="shared" si="148"/>
        <v>2.9763779527559056</v>
      </c>
      <c r="AU95" s="5">
        <f t="shared" si="176"/>
        <v>2.9295058590117167</v>
      </c>
      <c r="AV95" s="5">
        <f t="shared" si="149"/>
        <v>2.929505859011718</v>
      </c>
      <c r="AW95" s="153">
        <f t="shared" si="177"/>
        <v>0.50396825396825407</v>
      </c>
      <c r="AX95" s="153">
        <f t="shared" si="150"/>
        <v>2.0000000000000004</v>
      </c>
      <c r="AY95" s="153">
        <f t="shared" si="151"/>
        <v>9.8425196850393692E-2</v>
      </c>
      <c r="AZ95" s="153">
        <f t="shared" si="178"/>
        <v>20.320000000000007</v>
      </c>
      <c r="BA95" s="147">
        <f t="shared" si="152"/>
        <v>5.9640482169430262</v>
      </c>
      <c r="BB95" s="147">
        <f t="shared" si="153"/>
        <v>14.2319052</v>
      </c>
      <c r="BC95" s="5">
        <f t="shared" si="154"/>
        <v>0.29295058590117173</v>
      </c>
      <c r="BD95" s="147">
        <f t="shared" si="155"/>
        <v>29.595058590117169</v>
      </c>
      <c r="BE95" s="5"/>
      <c r="BF95" s="153">
        <f t="shared" si="179"/>
        <v>0.16265513491244546</v>
      </c>
      <c r="BG95" s="153">
        <f t="shared" si="156"/>
        <v>0.16136930340093858</v>
      </c>
      <c r="BH95" s="153"/>
      <c r="BI95" s="463">
        <f t="shared" si="157"/>
        <v>9.2598425196850406E-3</v>
      </c>
      <c r="BJ95" s="463">
        <f t="shared" si="158"/>
        <v>1.3546666666666672E-2</v>
      </c>
      <c r="BK95" s="463">
        <f t="shared" si="159"/>
        <v>2.1165333417317547E-3</v>
      </c>
      <c r="BL95" s="463">
        <f t="shared" si="160"/>
        <v>1.3763413333333339E-2</v>
      </c>
      <c r="BM95">
        <f t="shared" si="161"/>
        <v>5.7999999999999996E-3</v>
      </c>
      <c r="BN95">
        <f t="shared" si="162"/>
        <v>6.3496000251952645E-6</v>
      </c>
      <c r="BO95" s="463">
        <f t="shared" si="163"/>
        <v>4.5821166959375145E-2</v>
      </c>
      <c r="BP95" s="147">
        <f t="shared" si="180"/>
        <v>45.821166959375148</v>
      </c>
      <c r="BQ95" s="463">
        <f t="shared" si="164"/>
        <v>5.4274599789199594E-2</v>
      </c>
      <c r="BR95" s="463"/>
      <c r="BT95" s="147">
        <f t="shared" si="181"/>
        <v>54.274599789199591</v>
      </c>
      <c r="BU95" s="463">
        <f t="shared" si="165"/>
        <v>2.1165354330708666E-2</v>
      </c>
      <c r="BV95" s="463">
        <f t="shared" si="166"/>
        <v>2.0727881455762917E-2</v>
      </c>
      <c r="BW95" s="463">
        <f t="shared" si="167"/>
        <v>0</v>
      </c>
      <c r="BX95" s="463">
        <f t="shared" si="168"/>
        <v>4.7078204747399106E-2</v>
      </c>
      <c r="BY95" s="463">
        <f t="shared" si="169"/>
        <v>4.0000000000000015E-2</v>
      </c>
      <c r="BZ95" s="147">
        <f t="shared" si="182"/>
        <v>87.078204747399127</v>
      </c>
      <c r="CA95" s="153">
        <f t="shared" si="183"/>
        <v>0.18717397149597384</v>
      </c>
      <c r="CB95" s="5">
        <f t="shared" si="184"/>
        <v>1.8000000000000003</v>
      </c>
      <c r="CC95" s="153">
        <f t="shared" si="185"/>
        <v>0.90580896580732362</v>
      </c>
      <c r="CD95" s="5">
        <f t="shared" si="186"/>
        <v>90.580896580732357</v>
      </c>
      <c r="CG95" s="59">
        <f t="shared" si="170"/>
        <v>-50</v>
      </c>
      <c r="CH95">
        <f t="shared" si="171"/>
        <v>-50</v>
      </c>
    </row>
    <row r="96" spans="5:86" x14ac:dyDescent="0.25">
      <c r="E96" s="150">
        <v>91</v>
      </c>
      <c r="F96" s="191">
        <f t="shared" si="172"/>
        <v>9.1000000000000011E-2</v>
      </c>
      <c r="G96" s="191"/>
      <c r="H96" s="191">
        <f t="shared" si="120"/>
        <v>1.8200000000000003</v>
      </c>
      <c r="I96" s="472">
        <f t="shared" si="121"/>
        <v>20</v>
      </c>
      <c r="J96" s="152">
        <f t="shared" si="122"/>
        <v>20.32</v>
      </c>
      <c r="K96" s="386">
        <f t="shared" si="123"/>
        <v>40.32</v>
      </c>
      <c r="L96" s="386"/>
      <c r="M96" s="191">
        <f t="shared" si="124"/>
        <v>0.50396825396825395</v>
      </c>
      <c r="N96" s="152">
        <f t="shared" si="125"/>
        <v>3.4017857142857144</v>
      </c>
      <c r="O96" s="152">
        <f t="shared" si="173"/>
        <v>1.8200000000000003</v>
      </c>
      <c r="P96" s="191">
        <f t="shared" si="126"/>
        <v>0.17008928571428572</v>
      </c>
      <c r="Q96" s="191">
        <f t="shared" si="127"/>
        <v>20</v>
      </c>
      <c r="R96" s="191">
        <f t="shared" si="128"/>
        <v>0.18898809523809523</v>
      </c>
      <c r="S96" s="152">
        <f t="shared" si="129"/>
        <v>54.293012364552503</v>
      </c>
      <c r="T96" s="191">
        <f t="shared" si="130"/>
        <v>20</v>
      </c>
      <c r="U96" s="191">
        <f t="shared" si="131"/>
        <v>0.40125984251968511</v>
      </c>
      <c r="V96" s="191">
        <f t="shared" si="132"/>
        <v>3.009448818897638</v>
      </c>
      <c r="W96" s="191">
        <f t="shared" si="133"/>
        <v>2.9620559241118483</v>
      </c>
      <c r="X96" s="175">
        <f t="shared" si="134"/>
        <v>350</v>
      </c>
      <c r="Y96" s="386">
        <f t="shared" si="174"/>
        <v>167.46197868646848</v>
      </c>
      <c r="AA96" s="191">
        <f t="shared" si="135"/>
        <v>0.19198790627362058</v>
      </c>
      <c r="AB96" s="153">
        <f t="shared" si="136"/>
        <v>1.4172335600907029</v>
      </c>
      <c r="AC96" s="153">
        <f t="shared" si="137"/>
        <v>4.7616048182941621E-2</v>
      </c>
      <c r="AD96" s="153"/>
      <c r="AE96" s="153">
        <f t="shared" si="138"/>
        <v>1.1072834645669289</v>
      </c>
      <c r="AF96" s="317">
        <f t="shared" si="139"/>
        <v>1095.774814814815</v>
      </c>
      <c r="AG96" s="463">
        <f t="shared" si="140"/>
        <v>2.9066190944881887E-2</v>
      </c>
      <c r="AI96" s="153">
        <f t="shared" si="141"/>
        <v>0.27976709890483842</v>
      </c>
      <c r="AJ96" s="153">
        <f t="shared" si="142"/>
        <v>0.40125984251968511</v>
      </c>
      <c r="AK96" s="153">
        <f t="shared" si="143"/>
        <v>1.3675065616797901</v>
      </c>
      <c r="AM96" s="317">
        <f t="shared" si="144"/>
        <v>91.000000000000014</v>
      </c>
      <c r="AN96" s="147">
        <f t="shared" si="145"/>
        <v>167.46197868646848</v>
      </c>
      <c r="AP96">
        <f t="shared" si="146"/>
        <v>91.000000000000014</v>
      </c>
      <c r="AQ96">
        <f t="shared" si="147"/>
        <v>167.46197868646848</v>
      </c>
      <c r="AS96" s="5">
        <f t="shared" si="175"/>
        <v>5.9715047430094863</v>
      </c>
      <c r="AT96" s="5">
        <f t="shared" si="148"/>
        <v>3.009448818897638</v>
      </c>
      <c r="AU96" s="5">
        <f t="shared" si="176"/>
        <v>2.9620559241118483</v>
      </c>
      <c r="AV96" s="5">
        <f t="shared" si="149"/>
        <v>2.9620559241118483</v>
      </c>
      <c r="AW96" s="153">
        <f t="shared" si="177"/>
        <v>0.50396825396825395</v>
      </c>
      <c r="AX96" s="153">
        <f t="shared" si="150"/>
        <v>2.0222222222222226</v>
      </c>
      <c r="AY96" s="153">
        <f t="shared" si="151"/>
        <v>9.9518810148731429E-2</v>
      </c>
      <c r="AZ96" s="153">
        <f t="shared" si="178"/>
        <v>20.32</v>
      </c>
      <c r="BA96" s="147">
        <f t="shared" si="152"/>
        <v>5.9640482169430262</v>
      </c>
      <c r="BB96" s="147">
        <f t="shared" si="153"/>
        <v>14.546893452000003</v>
      </c>
      <c r="BC96" s="5">
        <f t="shared" si="154"/>
        <v>0.29949676566019801</v>
      </c>
      <c r="BD96" s="147">
        <f t="shared" si="155"/>
        <v>30.253009899353135</v>
      </c>
      <c r="BE96" s="5"/>
      <c r="BF96" s="153">
        <f t="shared" si="179"/>
        <v>0.16446241418925042</v>
      </c>
      <c r="BG96" s="153">
        <f t="shared" si="156"/>
        <v>0.16316229566094903</v>
      </c>
      <c r="BH96" s="153"/>
      <c r="BI96" s="463">
        <f t="shared" si="157"/>
        <v>9.4667599883347959E-3</v>
      </c>
      <c r="BJ96" s="463">
        <f t="shared" si="158"/>
        <v>1.3546666666666667E-2</v>
      </c>
      <c r="BK96" s="463">
        <f t="shared" si="159"/>
        <v>2.0932747335808558E-3</v>
      </c>
      <c r="BL96" s="463">
        <f t="shared" si="160"/>
        <v>1.3612167032967035E-2</v>
      </c>
      <c r="BM96">
        <f t="shared" si="161"/>
        <v>5.7999999999999996E-3</v>
      </c>
      <c r="BN96">
        <f t="shared" si="162"/>
        <v>6.2798242007425676E-6</v>
      </c>
      <c r="BO96" s="463">
        <f t="shared" si="163"/>
        <v>4.5883301408426953E-2</v>
      </c>
      <c r="BP96" s="147">
        <f t="shared" si="180"/>
        <v>45.883301408426952</v>
      </c>
      <c r="BQ96" s="463">
        <f t="shared" si="164"/>
        <v>5.5101158130168137E-2</v>
      </c>
      <c r="BR96" s="463"/>
      <c r="BT96" s="147">
        <f t="shared" si="181"/>
        <v>55.101158130168137</v>
      </c>
      <c r="BU96" s="463">
        <f t="shared" si="165"/>
        <v>2.1638308544765249E-2</v>
      </c>
      <c r="BV96" s="463">
        <f t="shared" si="166"/>
        <v>2.1191060041379352E-2</v>
      </c>
      <c r="BW96" s="463">
        <f t="shared" si="167"/>
        <v>0</v>
      </c>
      <c r="BX96" s="463">
        <f t="shared" si="168"/>
        <v>4.8133816092552802E-2</v>
      </c>
      <c r="BY96" s="463">
        <f t="shared" si="169"/>
        <v>4.0444444444444456E-2</v>
      </c>
      <c r="BZ96" s="147">
        <f t="shared" si="182"/>
        <v>88.578260536997263</v>
      </c>
      <c r="CA96" s="153">
        <f t="shared" si="183"/>
        <v>0.18956272007559233</v>
      </c>
      <c r="CB96" s="5">
        <f t="shared" si="184"/>
        <v>1.8200000000000003</v>
      </c>
      <c r="CC96" s="153">
        <f t="shared" si="185"/>
        <v>0.90566966724558773</v>
      </c>
      <c r="CD96" s="5">
        <f t="shared" si="186"/>
        <v>90.566966724558768</v>
      </c>
      <c r="CG96" s="59">
        <f t="shared" si="170"/>
        <v>-50</v>
      </c>
      <c r="CH96">
        <f t="shared" si="171"/>
        <v>-50</v>
      </c>
    </row>
    <row r="97" spans="5:86" x14ac:dyDescent="0.25">
      <c r="E97" s="150">
        <v>92</v>
      </c>
      <c r="F97" s="191">
        <f t="shared" si="172"/>
        <v>9.2000000000000012E-2</v>
      </c>
      <c r="G97" s="191"/>
      <c r="H97" s="191">
        <f t="shared" si="120"/>
        <v>1.8400000000000003</v>
      </c>
      <c r="I97" s="472">
        <f t="shared" si="121"/>
        <v>20</v>
      </c>
      <c r="J97" s="152">
        <f t="shared" si="122"/>
        <v>20.32</v>
      </c>
      <c r="K97" s="386">
        <f t="shared" si="123"/>
        <v>40.32</v>
      </c>
      <c r="L97" s="386"/>
      <c r="M97" s="191">
        <f t="shared" si="124"/>
        <v>0.50396825396825395</v>
      </c>
      <c r="N97" s="152">
        <f t="shared" si="125"/>
        <v>3.4017857142857144</v>
      </c>
      <c r="O97" s="152">
        <f t="shared" si="173"/>
        <v>1.8400000000000003</v>
      </c>
      <c r="P97" s="191">
        <f t="shared" si="126"/>
        <v>0.17008928571428572</v>
      </c>
      <c r="Q97" s="191">
        <f t="shared" si="127"/>
        <v>20</v>
      </c>
      <c r="R97" s="191">
        <f t="shared" si="128"/>
        <v>0.18898809523809523</v>
      </c>
      <c r="S97" s="152">
        <f t="shared" si="129"/>
        <v>53.48850552130785</v>
      </c>
      <c r="T97" s="467">
        <f t="shared" si="130"/>
        <v>20</v>
      </c>
      <c r="U97" s="191">
        <f t="shared" si="131"/>
        <v>0.40566929133858276</v>
      </c>
      <c r="V97" s="191">
        <f t="shared" si="132"/>
        <v>3.0425196850393705</v>
      </c>
      <c r="W97" s="191">
        <f t="shared" si="133"/>
        <v>2.9946059892119785</v>
      </c>
      <c r="X97" s="175">
        <f t="shared" si="134"/>
        <v>350</v>
      </c>
      <c r="Y97" s="386">
        <f t="shared" si="174"/>
        <v>165.64173978770251</v>
      </c>
      <c r="AA97" s="191">
        <f t="shared" si="135"/>
        <v>0.19198790627362058</v>
      </c>
      <c r="AB97" s="153">
        <f t="shared" si="136"/>
        <v>1.4172335600907029</v>
      </c>
      <c r="AC97" s="153">
        <f t="shared" si="137"/>
        <v>4.7616048182941621E-2</v>
      </c>
      <c r="AD97" s="153"/>
      <c r="AE97" s="153">
        <f t="shared" si="138"/>
        <v>1.1072834645669289</v>
      </c>
      <c r="AF97" s="317">
        <f t="shared" si="139"/>
        <v>1107.8162962962967</v>
      </c>
      <c r="AG97" s="463">
        <f t="shared" si="140"/>
        <v>2.9066190944881887E-2</v>
      </c>
      <c r="AI97" s="153">
        <f t="shared" si="141"/>
        <v>0.28130008078515628</v>
      </c>
      <c r="AJ97" s="153">
        <f t="shared" si="142"/>
        <v>0.40566929133858276</v>
      </c>
      <c r="AK97" s="153">
        <f t="shared" si="143"/>
        <v>1.3704461942257218</v>
      </c>
      <c r="AM97" s="317">
        <f t="shared" si="144"/>
        <v>92.000000000000014</v>
      </c>
      <c r="AN97" s="147">
        <f t="shared" si="145"/>
        <v>165.64173978770251</v>
      </c>
      <c r="AP97">
        <f t="shared" si="146"/>
        <v>92.000000000000014</v>
      </c>
      <c r="AQ97">
        <f t="shared" si="147"/>
        <v>165.64173978770251</v>
      </c>
      <c r="AS97" s="5">
        <f t="shared" si="175"/>
        <v>6.0371256742513495</v>
      </c>
      <c r="AT97" s="5">
        <f t="shared" si="148"/>
        <v>3.0425196850393705</v>
      </c>
      <c r="AU97" s="5">
        <f t="shared" si="176"/>
        <v>2.994605989211979</v>
      </c>
      <c r="AV97" s="5">
        <f t="shared" si="149"/>
        <v>2.9946059892119785</v>
      </c>
      <c r="AW97" s="153">
        <f t="shared" si="177"/>
        <v>0.50396825396825395</v>
      </c>
      <c r="AX97" s="153">
        <f t="shared" si="150"/>
        <v>2.0444444444444447</v>
      </c>
      <c r="AY97" s="153">
        <f t="shared" si="151"/>
        <v>0.10061242344706914</v>
      </c>
      <c r="AZ97" s="153">
        <f t="shared" si="178"/>
        <v>20.319999999999997</v>
      </c>
      <c r="BA97" s="147">
        <f t="shared" si="152"/>
        <v>5.9640482169430262</v>
      </c>
      <c r="BB97" s="147">
        <f t="shared" si="153"/>
        <v>14.865329088000003</v>
      </c>
      <c r="BC97" s="5">
        <f t="shared" si="154"/>
        <v>0.30611527889722456</v>
      </c>
      <c r="BD97" s="147">
        <f t="shared" si="155"/>
        <v>30.918194556389118</v>
      </c>
      <c r="BE97" s="5"/>
      <c r="BF97" s="153">
        <f t="shared" si="179"/>
        <v>0.16626969346605538</v>
      </c>
      <c r="BG97" s="153">
        <f t="shared" si="156"/>
        <v>0.16495528792095945</v>
      </c>
      <c r="BH97" s="153"/>
      <c r="BI97" s="463">
        <f t="shared" si="157"/>
        <v>9.6759638378536069E-3</v>
      </c>
      <c r="BJ97" s="463">
        <f t="shared" si="158"/>
        <v>1.3546666666666667E-2</v>
      </c>
      <c r="BK97" s="463">
        <f t="shared" si="159"/>
        <v>2.0705217473462813E-3</v>
      </c>
      <c r="BL97" s="463">
        <f t="shared" si="160"/>
        <v>1.3464208695652175E-2</v>
      </c>
      <c r="BM97">
        <f t="shared" si="161"/>
        <v>5.7999999999999996E-3</v>
      </c>
      <c r="BN97">
        <f t="shared" si="162"/>
        <v>6.211565242038844E-6</v>
      </c>
      <c r="BO97" s="463">
        <f t="shared" si="163"/>
        <v>4.5951861598550726E-2</v>
      </c>
      <c r="BP97" s="147">
        <f t="shared" si="180"/>
        <v>45.951861598550728</v>
      </c>
      <c r="BQ97" s="463">
        <f t="shared" si="164"/>
        <v>5.5932628717998194E-2</v>
      </c>
      <c r="BR97" s="463"/>
      <c r="BT97" s="147">
        <f t="shared" si="181"/>
        <v>55.932628717998192</v>
      </c>
      <c r="BU97" s="463">
        <f t="shared" si="165"/>
        <v>2.211648877223682E-2</v>
      </c>
      <c r="BV97" s="463">
        <f t="shared" si="166"/>
        <v>2.1659356622416959E-2</v>
      </c>
      <c r="BW97" s="463">
        <f t="shared" si="167"/>
        <v>0</v>
      </c>
      <c r="BX97" s="463">
        <f t="shared" si="168"/>
        <v>4.9201252957427243E-2</v>
      </c>
      <c r="BY97" s="463">
        <f t="shared" si="169"/>
        <v>4.0888888888888898E-2</v>
      </c>
      <c r="BZ97" s="147">
        <f t="shared" si="182"/>
        <v>90.090141846316143</v>
      </c>
      <c r="CA97" s="153">
        <f t="shared" si="183"/>
        <v>0.19197463216286506</v>
      </c>
      <c r="CB97" s="5">
        <f t="shared" si="184"/>
        <v>1.8400000000000003</v>
      </c>
      <c r="CC97" s="153">
        <f t="shared" si="185"/>
        <v>0.90552311572978428</v>
      </c>
      <c r="CD97" s="5">
        <f t="shared" si="186"/>
        <v>90.552311572978425</v>
      </c>
      <c r="CG97" s="59">
        <f t="shared" si="170"/>
        <v>-50</v>
      </c>
      <c r="CH97">
        <f t="shared" si="171"/>
        <v>-50</v>
      </c>
    </row>
    <row r="98" spans="5:86" x14ac:dyDescent="0.25">
      <c r="E98" s="150">
        <v>93</v>
      </c>
      <c r="F98" s="191">
        <f t="shared" si="172"/>
        <v>9.3000000000000013E-2</v>
      </c>
      <c r="G98" s="191"/>
      <c r="H98" s="191">
        <f t="shared" si="120"/>
        <v>1.8600000000000003</v>
      </c>
      <c r="I98" s="472">
        <f t="shared" si="121"/>
        <v>20</v>
      </c>
      <c r="J98" s="152">
        <f t="shared" si="122"/>
        <v>20.32</v>
      </c>
      <c r="K98" s="386">
        <f t="shared" si="123"/>
        <v>40.32</v>
      </c>
      <c r="L98" s="386"/>
      <c r="M98" s="191">
        <f t="shared" si="124"/>
        <v>0.50396825396825395</v>
      </c>
      <c r="N98" s="152">
        <f t="shared" si="125"/>
        <v>3.4017857142857144</v>
      </c>
      <c r="O98" s="152">
        <f t="shared" si="173"/>
        <v>1.8600000000000003</v>
      </c>
      <c r="P98" s="191">
        <f t="shared" si="126"/>
        <v>0.17008928571428572</v>
      </c>
      <c r="Q98" s="191">
        <f t="shared" si="127"/>
        <v>20</v>
      </c>
      <c r="R98" s="191">
        <f t="shared" si="128"/>
        <v>0.18898809523809523</v>
      </c>
      <c r="S98" s="152">
        <f t="shared" si="129"/>
        <v>52.701351251364457</v>
      </c>
      <c r="T98" s="467">
        <f t="shared" si="130"/>
        <v>20</v>
      </c>
      <c r="U98" s="191">
        <f t="shared" si="131"/>
        <v>0.41007874015748041</v>
      </c>
      <c r="V98" s="191">
        <f t="shared" si="132"/>
        <v>3.0755905511811026</v>
      </c>
      <c r="W98" s="191">
        <f t="shared" si="133"/>
        <v>3.0271560543121088</v>
      </c>
      <c r="X98" s="175">
        <f t="shared" si="134"/>
        <v>350</v>
      </c>
      <c r="Y98" s="386">
        <f t="shared" si="174"/>
        <v>163.86064581149068</v>
      </c>
      <c r="AA98" s="191">
        <f t="shared" si="135"/>
        <v>0.19198790627362058</v>
      </c>
      <c r="AB98" s="153">
        <f t="shared" si="136"/>
        <v>1.4172335600907029</v>
      </c>
      <c r="AC98" s="153">
        <f t="shared" si="137"/>
        <v>4.7616048182941621E-2</v>
      </c>
      <c r="AD98" s="153"/>
      <c r="AE98" s="153">
        <f t="shared" si="138"/>
        <v>1.1072834645669289</v>
      </c>
      <c r="AF98" s="317">
        <f t="shared" si="139"/>
        <v>1119.857777777778</v>
      </c>
      <c r="AG98" s="463">
        <f t="shared" si="140"/>
        <v>2.9066190944881887E-2</v>
      </c>
      <c r="AI98" s="153">
        <f t="shared" si="141"/>
        <v>0.28282475363702042</v>
      </c>
      <c r="AJ98" s="153">
        <f t="shared" si="142"/>
        <v>0.41007874015748041</v>
      </c>
      <c r="AK98" s="153">
        <f t="shared" si="143"/>
        <v>1.3733858267716537</v>
      </c>
      <c r="AM98" s="317">
        <f t="shared" si="144"/>
        <v>93.000000000000014</v>
      </c>
      <c r="AN98" s="147">
        <f t="shared" si="145"/>
        <v>163.86064581149068</v>
      </c>
      <c r="AP98">
        <f t="shared" si="146"/>
        <v>93.000000000000014</v>
      </c>
      <c r="AQ98">
        <f t="shared" si="147"/>
        <v>163.86064581149068</v>
      </c>
      <c r="AS98" s="5">
        <f t="shared" si="175"/>
        <v>6.10274660549321</v>
      </c>
      <c r="AT98" s="5">
        <f t="shared" si="148"/>
        <v>3.0755905511811026</v>
      </c>
      <c r="AU98" s="5">
        <f t="shared" si="176"/>
        <v>3.0271560543121074</v>
      </c>
      <c r="AV98" s="5">
        <f t="shared" si="149"/>
        <v>3.0271560543121088</v>
      </c>
      <c r="AW98" s="153">
        <f t="shared" si="177"/>
        <v>0.50396825396825407</v>
      </c>
      <c r="AX98" s="153">
        <f t="shared" si="150"/>
        <v>2.0666666666666682</v>
      </c>
      <c r="AY98" s="153">
        <f t="shared" si="151"/>
        <v>0.10170603674540683</v>
      </c>
      <c r="AZ98" s="153">
        <f t="shared" si="178"/>
        <v>20.320000000000014</v>
      </c>
      <c r="BA98" s="147">
        <f t="shared" si="152"/>
        <v>5.9640482169430262</v>
      </c>
      <c r="BB98" s="147">
        <f t="shared" si="153"/>
        <v>15.187212108000001</v>
      </c>
      <c r="BC98" s="5">
        <f t="shared" si="154"/>
        <v>0.31280612561225113</v>
      </c>
      <c r="BD98" s="147">
        <f t="shared" si="155"/>
        <v>31.590612561225111</v>
      </c>
      <c r="BE98" s="5"/>
      <c r="BF98" s="153">
        <f t="shared" si="179"/>
        <v>0.16807697274286035</v>
      </c>
      <c r="BG98" s="153">
        <f t="shared" si="156"/>
        <v>0.16674828018096988</v>
      </c>
      <c r="BH98" s="153"/>
      <c r="BI98" s="463">
        <f t="shared" si="157"/>
        <v>9.8874540682414754E-3</v>
      </c>
      <c r="BJ98" s="463">
        <f t="shared" si="158"/>
        <v>1.3546666666666672E-2</v>
      </c>
      <c r="BK98" s="463">
        <f t="shared" si="159"/>
        <v>2.0482580726436336E-3</v>
      </c>
      <c r="BL98" s="463">
        <f t="shared" si="160"/>
        <v>1.331943225806452E-2</v>
      </c>
      <c r="BM98">
        <f t="shared" si="161"/>
        <v>5.7999999999999996E-3</v>
      </c>
      <c r="BN98">
        <f t="shared" si="162"/>
        <v>6.1447742179309002E-6</v>
      </c>
      <c r="BO98" s="463">
        <f t="shared" si="163"/>
        <v>4.6026725715717365E-2</v>
      </c>
      <c r="BP98" s="147">
        <f t="shared" si="180"/>
        <v>46.026725715717362</v>
      </c>
      <c r="BQ98" s="463">
        <f t="shared" si="164"/>
        <v>5.6769011552689784E-2</v>
      </c>
      <c r="BR98" s="463"/>
      <c r="BT98" s="147">
        <f t="shared" si="181"/>
        <v>56.769011552689783</v>
      </c>
      <c r="BU98" s="463">
        <f t="shared" si="165"/>
        <v>2.2599895013123376E-2</v>
      </c>
      <c r="BV98" s="463">
        <f t="shared" si="166"/>
        <v>2.2132771198875741E-2</v>
      </c>
      <c r="BW98" s="463">
        <f t="shared" si="167"/>
        <v>0</v>
      </c>
      <c r="BX98" s="463">
        <f t="shared" si="168"/>
        <v>5.0280520697384749E-2</v>
      </c>
      <c r="BY98" s="463">
        <f t="shared" si="169"/>
        <v>4.1333333333333368E-2</v>
      </c>
      <c r="BZ98" s="147">
        <f t="shared" si="182"/>
        <v>91.613854030718116</v>
      </c>
      <c r="CA98" s="153">
        <f t="shared" si="183"/>
        <v>0.19440959129912527</v>
      </c>
      <c r="CB98" s="5">
        <f t="shared" si="184"/>
        <v>1.8600000000000003</v>
      </c>
      <c r="CC98" s="153">
        <f t="shared" si="185"/>
        <v>0.90536960491106899</v>
      </c>
      <c r="CD98" s="5">
        <f t="shared" si="186"/>
        <v>90.536960491106896</v>
      </c>
      <c r="CG98" s="59">
        <f t="shared" si="170"/>
        <v>-50</v>
      </c>
      <c r="CH98">
        <f t="shared" si="171"/>
        <v>-50</v>
      </c>
    </row>
    <row r="99" spans="5:86" x14ac:dyDescent="0.25">
      <c r="E99" s="150">
        <v>94</v>
      </c>
      <c r="F99" s="191">
        <f t="shared" si="172"/>
        <v>9.4E-2</v>
      </c>
      <c r="G99" s="191"/>
      <c r="H99" s="191">
        <f t="shared" si="120"/>
        <v>1.88</v>
      </c>
      <c r="I99" s="472">
        <f t="shared" si="121"/>
        <v>20</v>
      </c>
      <c r="J99" s="152">
        <f t="shared" si="122"/>
        <v>20.32</v>
      </c>
      <c r="K99" s="386">
        <f t="shared" si="123"/>
        <v>40.32</v>
      </c>
      <c r="L99" s="386"/>
      <c r="M99" s="191">
        <f t="shared" si="124"/>
        <v>0.50396825396825395</v>
      </c>
      <c r="N99" s="152">
        <f t="shared" si="125"/>
        <v>3.4017857142857144</v>
      </c>
      <c r="O99" s="152">
        <f t="shared" si="173"/>
        <v>1.88</v>
      </c>
      <c r="P99" s="191">
        <f t="shared" si="126"/>
        <v>0.17008928571428572</v>
      </c>
      <c r="Q99" s="191">
        <f t="shared" si="127"/>
        <v>20</v>
      </c>
      <c r="R99" s="191">
        <f t="shared" si="128"/>
        <v>0.18898809523809523</v>
      </c>
      <c r="S99" s="152">
        <f t="shared" si="129"/>
        <v>51.930996340929092</v>
      </c>
      <c r="T99" s="467">
        <f t="shared" si="130"/>
        <v>20</v>
      </c>
      <c r="U99" s="191">
        <f t="shared" si="131"/>
        <v>0.41448818897637796</v>
      </c>
      <c r="V99" s="191">
        <f t="shared" si="132"/>
        <v>3.1086614173228342</v>
      </c>
      <c r="W99" s="191">
        <f t="shared" si="133"/>
        <v>3.0597061194122381</v>
      </c>
      <c r="X99" s="175">
        <f t="shared" si="134"/>
        <v>350</v>
      </c>
      <c r="Y99" s="386">
        <f t="shared" si="174"/>
        <v>162.11744745179399</v>
      </c>
      <c r="AA99" s="191">
        <f t="shared" si="135"/>
        <v>0.19198790627362058</v>
      </c>
      <c r="AB99" s="153">
        <f t="shared" si="136"/>
        <v>1.4172335600907029</v>
      </c>
      <c r="AC99" s="153">
        <f t="shared" si="137"/>
        <v>4.7616048182941621E-2</v>
      </c>
      <c r="AD99" s="153"/>
      <c r="AE99" s="153">
        <f t="shared" si="138"/>
        <v>1.1072834645669289</v>
      </c>
      <c r="AF99" s="317">
        <f t="shared" si="139"/>
        <v>1131.8992592592592</v>
      </c>
      <c r="AG99" s="463">
        <f t="shared" si="140"/>
        <v>2.9066190944881887E-2</v>
      </c>
      <c r="AI99" s="153">
        <f t="shared" si="141"/>
        <v>0.2843412511225677</v>
      </c>
      <c r="AJ99" s="153">
        <f t="shared" si="142"/>
        <v>0.41448818897637796</v>
      </c>
      <c r="AK99" s="153">
        <f t="shared" si="143"/>
        <v>1.3763254593175853</v>
      </c>
      <c r="AM99" s="317">
        <f t="shared" si="144"/>
        <v>94</v>
      </c>
      <c r="AN99" s="147">
        <f t="shared" si="145"/>
        <v>162.11744745179399</v>
      </c>
      <c r="AP99">
        <f t="shared" si="146"/>
        <v>94</v>
      </c>
      <c r="AQ99">
        <f t="shared" si="147"/>
        <v>162.11744745179399</v>
      </c>
      <c r="AS99" s="5">
        <f t="shared" si="175"/>
        <v>6.1683675367350723</v>
      </c>
      <c r="AT99" s="5">
        <f t="shared" si="148"/>
        <v>3.1086614173228342</v>
      </c>
      <c r="AU99" s="5">
        <f t="shared" si="176"/>
        <v>3.0597061194122381</v>
      </c>
      <c r="AV99" s="5">
        <f t="shared" si="149"/>
        <v>3.0597061194122381</v>
      </c>
      <c r="AW99" s="153">
        <f t="shared" si="177"/>
        <v>0.50396825396825395</v>
      </c>
      <c r="AX99" s="153">
        <f t="shared" si="150"/>
        <v>2.0888888888888895</v>
      </c>
      <c r="AY99" s="153">
        <f t="shared" si="151"/>
        <v>0.10279965004374454</v>
      </c>
      <c r="AZ99" s="153">
        <f t="shared" si="178"/>
        <v>20.320000000000004</v>
      </c>
      <c r="BA99" s="147">
        <f t="shared" si="152"/>
        <v>5.9640482169430262</v>
      </c>
      <c r="BB99" s="147">
        <f t="shared" si="153"/>
        <v>15.512542511999998</v>
      </c>
      <c r="BC99" s="5">
        <f t="shared" si="154"/>
        <v>0.31956930580527815</v>
      </c>
      <c r="BD99" s="147">
        <f t="shared" si="155"/>
        <v>32.270263913861157</v>
      </c>
      <c r="BE99" s="5"/>
      <c r="BF99" s="153">
        <f t="shared" si="179"/>
        <v>0.16988425201966526</v>
      </c>
      <c r="BG99" s="153">
        <f t="shared" si="156"/>
        <v>0.16854127244098027</v>
      </c>
      <c r="BH99" s="153"/>
      <c r="BI99" s="463">
        <f t="shared" si="157"/>
        <v>1.0101230679498398E-2</v>
      </c>
      <c r="BJ99" s="463">
        <f t="shared" si="158"/>
        <v>1.3546666666666672E-2</v>
      </c>
      <c r="BK99" s="463">
        <f t="shared" si="159"/>
        <v>2.0264680931474251E-3</v>
      </c>
      <c r="BL99" s="463">
        <f t="shared" si="160"/>
        <v>1.3177736170212772E-2</v>
      </c>
      <c r="BM99">
        <f t="shared" si="161"/>
        <v>5.7999999999999996E-3</v>
      </c>
      <c r="BN99">
        <f t="shared" si="162"/>
        <v>6.0794042794422746E-6</v>
      </c>
      <c r="BO99" s="463">
        <f t="shared" si="163"/>
        <v>4.6107777162138611E-2</v>
      </c>
      <c r="BP99" s="147">
        <f t="shared" si="180"/>
        <v>46.107777162138611</v>
      </c>
      <c r="BQ99" s="463">
        <f t="shared" si="164"/>
        <v>5.7610306634242901E-2</v>
      </c>
      <c r="BR99" s="463"/>
      <c r="BT99" s="147">
        <f t="shared" si="181"/>
        <v>57.610306634242903</v>
      </c>
      <c r="BU99" s="463">
        <f t="shared" si="165"/>
        <v>2.3088527267424913E-2</v>
      </c>
      <c r="BV99" s="463">
        <f t="shared" si="166"/>
        <v>2.2611303770755691E-2</v>
      </c>
      <c r="BW99" s="463">
        <f t="shared" si="167"/>
        <v>0</v>
      </c>
      <c r="BX99" s="463">
        <f t="shared" si="168"/>
        <v>5.1371624728381797E-2</v>
      </c>
      <c r="BY99" s="463">
        <f t="shared" si="169"/>
        <v>4.1777777777777789E-2</v>
      </c>
      <c r="BZ99" s="147">
        <f t="shared" si="182"/>
        <v>93.149402506159575</v>
      </c>
      <c r="CA99" s="153">
        <f t="shared" si="183"/>
        <v>0.19686748630254108</v>
      </c>
      <c r="CB99" s="5">
        <f t="shared" si="184"/>
        <v>1.88</v>
      </c>
      <c r="CC99" s="153">
        <f t="shared" si="185"/>
        <v>0.90520941388849741</v>
      </c>
      <c r="CD99" s="5">
        <f t="shared" si="186"/>
        <v>90.520941388849735</v>
      </c>
      <c r="CG99" s="59">
        <f t="shared" si="170"/>
        <v>-50</v>
      </c>
      <c r="CH99">
        <f t="shared" si="171"/>
        <v>-50</v>
      </c>
    </row>
    <row r="100" spans="5:86" x14ac:dyDescent="0.25">
      <c r="E100" s="150">
        <v>95</v>
      </c>
      <c r="F100" s="191">
        <f t="shared" si="172"/>
        <v>9.5000000000000001E-2</v>
      </c>
      <c r="G100" s="191"/>
      <c r="H100" s="191">
        <f t="shared" si="120"/>
        <v>1.9</v>
      </c>
      <c r="I100" s="472">
        <f t="shared" si="121"/>
        <v>20</v>
      </c>
      <c r="J100" s="152">
        <f t="shared" si="122"/>
        <v>20.32</v>
      </c>
      <c r="K100" s="386">
        <f t="shared" si="123"/>
        <v>40.32</v>
      </c>
      <c r="L100" s="386"/>
      <c r="M100" s="191">
        <f t="shared" si="124"/>
        <v>0.50396825396825395</v>
      </c>
      <c r="N100" s="152">
        <f t="shared" si="125"/>
        <v>3.4017857142857144</v>
      </c>
      <c r="O100" s="152">
        <f t="shared" si="173"/>
        <v>1.9</v>
      </c>
      <c r="P100" s="191">
        <f t="shared" si="126"/>
        <v>0.17008928571428572</v>
      </c>
      <c r="Q100" s="191">
        <f t="shared" si="127"/>
        <v>20</v>
      </c>
      <c r="R100" s="191">
        <f t="shared" si="128"/>
        <v>0.18898809523809523</v>
      </c>
      <c r="S100" s="152">
        <f t="shared" si="129"/>
        <v>51.17691087824614</v>
      </c>
      <c r="T100" s="467">
        <f t="shared" si="130"/>
        <v>20</v>
      </c>
      <c r="U100" s="191">
        <f t="shared" si="131"/>
        <v>0.41889763779527556</v>
      </c>
      <c r="V100" s="191">
        <f t="shared" si="132"/>
        <v>3.1417322834645662</v>
      </c>
      <c r="W100" s="191">
        <f t="shared" si="133"/>
        <v>3.0922561845123679</v>
      </c>
      <c r="X100" s="175">
        <f t="shared" si="134"/>
        <v>350</v>
      </c>
      <c r="Y100" s="386">
        <f t="shared" si="174"/>
        <v>160.41094800493303</v>
      </c>
      <c r="AA100" s="191">
        <f t="shared" si="135"/>
        <v>0.19198790627362058</v>
      </c>
      <c r="AB100" s="153">
        <f t="shared" si="136"/>
        <v>1.4172335600907029</v>
      </c>
      <c r="AC100" s="153">
        <f t="shared" si="137"/>
        <v>4.7616048182941621E-2</v>
      </c>
      <c r="AD100" s="153"/>
      <c r="AE100" s="153">
        <f t="shared" si="138"/>
        <v>1.1072834645669289</v>
      </c>
      <c r="AF100" s="317">
        <f t="shared" si="139"/>
        <v>1143.9407407407409</v>
      </c>
      <c r="AG100" s="463">
        <f t="shared" si="140"/>
        <v>2.9066190944881887E-2</v>
      </c>
      <c r="AI100" s="153">
        <f t="shared" si="141"/>
        <v>0.28584970335834342</v>
      </c>
      <c r="AJ100" s="153">
        <f t="shared" si="142"/>
        <v>0.41889763779527556</v>
      </c>
      <c r="AK100" s="153">
        <f t="shared" si="143"/>
        <v>1.379265091863517</v>
      </c>
      <c r="AM100" s="317">
        <f t="shared" si="144"/>
        <v>95</v>
      </c>
      <c r="AN100" s="147">
        <f t="shared" si="145"/>
        <v>160.41094800493303</v>
      </c>
      <c r="AP100">
        <f t="shared" si="146"/>
        <v>95</v>
      </c>
      <c r="AQ100">
        <f t="shared" si="147"/>
        <v>160.41094800493303</v>
      </c>
      <c r="AS100" s="5">
        <f t="shared" si="175"/>
        <v>6.2339884679769337</v>
      </c>
      <c r="AT100" s="5">
        <f t="shared" si="148"/>
        <v>3.1417322834645662</v>
      </c>
      <c r="AU100" s="5">
        <f t="shared" si="176"/>
        <v>3.0922561845123675</v>
      </c>
      <c r="AV100" s="5">
        <f t="shared" si="149"/>
        <v>3.0922561845123679</v>
      </c>
      <c r="AW100" s="153">
        <f t="shared" si="177"/>
        <v>0.50396825396825407</v>
      </c>
      <c r="AX100" s="153">
        <f t="shared" si="150"/>
        <v>2.1111111111111116</v>
      </c>
      <c r="AY100" s="153">
        <f t="shared" si="151"/>
        <v>0.10389326334208221</v>
      </c>
      <c r="AZ100" s="153">
        <f t="shared" si="178"/>
        <v>20.320000000000011</v>
      </c>
      <c r="BA100" s="147">
        <f t="shared" si="152"/>
        <v>5.9640482169430262</v>
      </c>
      <c r="BB100" s="147">
        <f t="shared" si="153"/>
        <v>15.8413203</v>
      </c>
      <c r="BC100" s="5">
        <f t="shared" si="154"/>
        <v>0.32640481947630545</v>
      </c>
      <c r="BD100" s="147">
        <f t="shared" si="155"/>
        <v>32.957148614297211</v>
      </c>
      <c r="BE100" s="5"/>
      <c r="BF100" s="153">
        <f t="shared" si="179"/>
        <v>0.17169153129647019</v>
      </c>
      <c r="BG100" s="153">
        <f t="shared" si="156"/>
        <v>0.17033426470099067</v>
      </c>
      <c r="BH100" s="153"/>
      <c r="BI100" s="463">
        <f t="shared" si="157"/>
        <v>1.0317293671624381E-2</v>
      </c>
      <c r="BJ100" s="463">
        <f t="shared" si="158"/>
        <v>1.3546666666666672E-2</v>
      </c>
      <c r="BK100" s="463">
        <f t="shared" si="159"/>
        <v>2.0051368500616628E-3</v>
      </c>
      <c r="BL100" s="463">
        <f t="shared" si="160"/>
        <v>1.3039023157894744E-2</v>
      </c>
      <c r="BM100">
        <f t="shared" si="161"/>
        <v>5.7999999999999996E-3</v>
      </c>
      <c r="BN100">
        <f t="shared" si="162"/>
        <v>6.0154105501849882E-6</v>
      </c>
      <c r="BO100" s="463">
        <f t="shared" si="163"/>
        <v>4.6194904282088139E-2</v>
      </c>
      <c r="BP100" s="147">
        <f t="shared" si="180"/>
        <v>46.194904282088139</v>
      </c>
      <c r="BQ100" s="463">
        <f t="shared" si="164"/>
        <v>5.8456513962657559E-2</v>
      </c>
      <c r="BR100" s="463"/>
      <c r="BT100" s="147">
        <f t="shared" si="181"/>
        <v>58.45651396265756</v>
      </c>
      <c r="BU100" s="463">
        <f t="shared" si="165"/>
        <v>2.3582385535141442E-2</v>
      </c>
      <c r="BV100" s="463">
        <f t="shared" si="166"/>
        <v>2.3094954338056816E-2</v>
      </c>
      <c r="BW100" s="463">
        <f t="shared" si="167"/>
        <v>0</v>
      </c>
      <c r="BX100" s="463">
        <f t="shared" si="168"/>
        <v>5.2474570527037308E-2</v>
      </c>
      <c r="BY100" s="463">
        <f t="shared" si="169"/>
        <v>4.2222222222222244E-2</v>
      </c>
      <c r="BZ100" s="147">
        <f t="shared" si="182"/>
        <v>94.696792749259544</v>
      </c>
      <c r="CA100" s="153">
        <f t="shared" si="183"/>
        <v>0.19934821099400524</v>
      </c>
      <c r="CB100" s="5">
        <f t="shared" si="184"/>
        <v>1.9</v>
      </c>
      <c r="CC100" s="153">
        <f t="shared" si="185"/>
        <v>0.90504280807250292</v>
      </c>
      <c r="CD100" s="5">
        <f t="shared" si="186"/>
        <v>90.504280807250296</v>
      </c>
      <c r="CG100" s="59">
        <f t="shared" si="170"/>
        <v>-50</v>
      </c>
      <c r="CH100">
        <f t="shared" si="171"/>
        <v>-50</v>
      </c>
    </row>
    <row r="101" spans="5:86" x14ac:dyDescent="0.25">
      <c r="E101" s="150">
        <v>96</v>
      </c>
      <c r="F101" s="191">
        <f t="shared" si="172"/>
        <v>9.6000000000000002E-2</v>
      </c>
      <c r="G101" s="191"/>
      <c r="H101" s="191">
        <f t="shared" ref="H101:H105" si="187">F101*Vout</f>
        <v>1.92</v>
      </c>
      <c r="I101" s="472">
        <f t="shared" si="121"/>
        <v>20</v>
      </c>
      <c r="J101" s="152">
        <f t="shared" si="122"/>
        <v>20.32</v>
      </c>
      <c r="K101" s="386">
        <f t="shared" si="123"/>
        <v>40.32</v>
      </c>
      <c r="L101" s="386"/>
      <c r="M101" s="191">
        <f t="shared" si="124"/>
        <v>0.50396825396825395</v>
      </c>
      <c r="N101" s="152">
        <f t="shared" ref="N101:N105" si="188">M101*I101*Isw_max*0.5*Efficiency</f>
        <v>3.4017857142857144</v>
      </c>
      <c r="O101" s="152">
        <f t="shared" si="173"/>
        <v>1.92</v>
      </c>
      <c r="P101" s="191">
        <f t="shared" ref="P101:P105" si="189">N101/Vout</f>
        <v>0.17008928571428572</v>
      </c>
      <c r="Q101" s="191">
        <f t="shared" si="127"/>
        <v>20</v>
      </c>
      <c r="R101" s="191">
        <f t="shared" ref="R101:R105" si="190">Isw_max/2*I101*Nps*(Q101+Vfwd1)/Q101/(I101+Nps*(Q101+Vfwd1))</f>
        <v>0.18898809523809523</v>
      </c>
      <c r="S101" s="152">
        <f t="shared" si="129"/>
        <v>50.438587040108956</v>
      </c>
      <c r="T101" s="467">
        <f t="shared" ref="T101:T105" si="191">MIN(Vout, S101)</f>
        <v>20</v>
      </c>
      <c r="U101" s="191">
        <f t="shared" si="131"/>
        <v>0.42330708661417321</v>
      </c>
      <c r="V101" s="191">
        <f t="shared" ref="V101:V105" si="192">L*U101/I101*1000000</f>
        <v>3.1748031496062987</v>
      </c>
      <c r="W101" s="191">
        <f t="shared" si="133"/>
        <v>3.1248062496124986</v>
      </c>
      <c r="X101" s="175">
        <f t="shared" si="134"/>
        <v>350</v>
      </c>
      <c r="Y101" s="386">
        <f t="shared" si="174"/>
        <v>158.74000062988162</v>
      </c>
      <c r="AA101" s="191">
        <f t="shared" si="135"/>
        <v>0.19198790627362058</v>
      </c>
      <c r="AB101" s="153">
        <f t="shared" ref="AB101:AB105" si="193">L*AA101/J101*1000000</f>
        <v>1.4172335600907029</v>
      </c>
      <c r="AC101" s="153">
        <f t="shared" ref="AC101:AC105" si="194">0.5*AB101*AA101*Nps*X101/1000</f>
        <v>4.7616048182941621E-2</v>
      </c>
      <c r="AD101" s="153"/>
      <c r="AE101" s="153">
        <f t="shared" si="138"/>
        <v>1.1072834645669289</v>
      </c>
      <c r="AF101" s="317">
        <f t="shared" ref="AF101:AF105" si="195">MAX(12, F101/(0.5*AE101/1000000*Isw_min*Nps)/1000)</f>
        <v>1155.9822222222222</v>
      </c>
      <c r="AG101" s="463">
        <f t="shared" si="140"/>
        <v>2.9066190944881887E-2</v>
      </c>
      <c r="AI101" s="153">
        <f t="shared" si="141"/>
        <v>0.28735023704559343</v>
      </c>
      <c r="AJ101" s="153">
        <f t="shared" ref="AJ101:AJ105" si="196">MAX(IF(F101&gt;AC101,U101,AI101),Isw_min)</f>
        <v>0.42330708661417321</v>
      </c>
      <c r="AK101" s="153">
        <f t="shared" ref="AK101:AK105" si="197">IF(F101&gt;AG101, (AJ101-Isw_min)/1.2*0.8+1.2, AF101*0.2/350+1)</f>
        <v>1.3822047244094489</v>
      </c>
      <c r="AM101" s="317">
        <f t="shared" si="144"/>
        <v>96</v>
      </c>
      <c r="AN101" s="147">
        <f t="shared" si="145"/>
        <v>158.74000062988162</v>
      </c>
      <c r="AP101">
        <f t="shared" si="146"/>
        <v>96</v>
      </c>
      <c r="AQ101">
        <f t="shared" si="147"/>
        <v>158.74000062988162</v>
      </c>
      <c r="AS101" s="5">
        <f t="shared" si="175"/>
        <v>6.2996093992187969</v>
      </c>
      <c r="AT101" s="5">
        <f t="shared" si="148"/>
        <v>3.1748031496062987</v>
      </c>
      <c r="AU101" s="5">
        <f t="shared" si="176"/>
        <v>3.1248062496124982</v>
      </c>
      <c r="AV101" s="5">
        <f t="shared" si="149"/>
        <v>3.1248062496124986</v>
      </c>
      <c r="AW101" s="153">
        <f t="shared" si="177"/>
        <v>0.50396825396825407</v>
      </c>
      <c r="AX101" s="153">
        <f t="shared" si="150"/>
        <v>2.1333333333333333</v>
      </c>
      <c r="AY101" s="153">
        <f t="shared" si="151"/>
        <v>0.10498687664041992</v>
      </c>
      <c r="AZ101" s="153">
        <f t="shared" si="178"/>
        <v>20.320000000000004</v>
      </c>
      <c r="BA101" s="147">
        <f t="shared" si="152"/>
        <v>5.9640482169430262</v>
      </c>
      <c r="BB101" s="147">
        <f t="shared" si="153"/>
        <v>16.173545471999997</v>
      </c>
      <c r="BC101" s="5">
        <f t="shared" si="154"/>
        <v>0.3333126666253331</v>
      </c>
      <c r="BD101" s="147">
        <f t="shared" si="155"/>
        <v>33.65126666253331</v>
      </c>
      <c r="BE101" s="5"/>
      <c r="BF101" s="153">
        <f t="shared" si="179"/>
        <v>0.17349881057327513</v>
      </c>
      <c r="BG101" s="153">
        <f t="shared" si="156"/>
        <v>0.17212725696100112</v>
      </c>
      <c r="BH101" s="153"/>
      <c r="BI101" s="463">
        <f t="shared" si="157"/>
        <v>1.053564304461942E-2</v>
      </c>
      <c r="BJ101" s="463">
        <f t="shared" si="158"/>
        <v>1.3546666666666672E-2</v>
      </c>
      <c r="BK101" s="463">
        <f t="shared" si="159"/>
        <v>1.9842500078735203E-3</v>
      </c>
      <c r="BL101" s="463">
        <f t="shared" si="160"/>
        <v>1.2903200000000005E-2</v>
      </c>
      <c r="BM101">
        <f t="shared" si="161"/>
        <v>5.7999999999999996E-3</v>
      </c>
      <c r="BN101">
        <f t="shared" si="162"/>
        <v>5.9527500236205606E-6</v>
      </c>
      <c r="BO101" s="463">
        <f t="shared" ref="BO101:BO105" si="198">(BJ101+BK101+BL101+BM101+BN101+BI101*(1+RdsonTC*(Ta-25)))/(1-BI101*RdsonTC*ThetaJA)</f>
        <v>4.6288000104859194E-2</v>
      </c>
      <c r="BP101" s="147">
        <f t="shared" si="180"/>
        <v>46.288000104859194</v>
      </c>
      <c r="BQ101" s="463">
        <f t="shared" si="164"/>
        <v>5.9307633537933745E-2</v>
      </c>
      <c r="BR101" s="463"/>
      <c r="BT101" s="147">
        <f t="shared" si="181"/>
        <v>59.307633537933746</v>
      </c>
      <c r="BU101" s="463">
        <f t="shared" si="165"/>
        <v>2.4081469816272964E-2</v>
      </c>
      <c r="BV101" s="463">
        <f t="shared" si="166"/>
        <v>2.3583722900779133E-2</v>
      </c>
      <c r="BW101" s="463">
        <f t="shared" si="167"/>
        <v>0</v>
      </c>
      <c r="BX101" s="463">
        <f t="shared" ref="BX101:BX105" si="199">(BW101+(BU101+BV101)*(1+Ltc*(Ta-25)))/(1-(BU101+BV101)*Ltc*ThetaCa)</f>
        <v>5.3589363630701672E-2</v>
      </c>
      <c r="BY101" s="463">
        <f t="shared" si="169"/>
        <v>4.2666666666666679E-2</v>
      </c>
      <c r="BZ101" s="147">
        <f t="shared" si="182"/>
        <v>96.256030297368341</v>
      </c>
      <c r="CA101" s="153">
        <f t="shared" si="183"/>
        <v>0.2018516639401613</v>
      </c>
      <c r="CB101" s="5">
        <f t="shared" si="184"/>
        <v>1.92</v>
      </c>
      <c r="CC101" s="153">
        <f t="shared" si="185"/>
        <v>0.90487003998887761</v>
      </c>
      <c r="CD101" s="5">
        <f t="shared" si="186"/>
        <v>90.487003998887758</v>
      </c>
      <c r="CG101" s="59">
        <f t="shared" si="170"/>
        <v>-50</v>
      </c>
      <c r="CH101">
        <f t="shared" si="171"/>
        <v>-50</v>
      </c>
    </row>
    <row r="102" spans="5:86" x14ac:dyDescent="0.25">
      <c r="E102" s="150">
        <v>97</v>
      </c>
      <c r="F102" s="191">
        <f t="shared" ref="F102:F105" si="200">IF(PLOT_TYPE=1, E102/100*Iout_max, min_I*EXP(N102*rr/100))</f>
        <v>9.7000000000000003E-2</v>
      </c>
      <c r="G102" s="191"/>
      <c r="H102" s="191">
        <f t="shared" si="187"/>
        <v>1.94</v>
      </c>
      <c r="I102" s="472">
        <f t="shared" si="121"/>
        <v>20</v>
      </c>
      <c r="J102" s="152">
        <f t="shared" si="122"/>
        <v>20.32</v>
      </c>
      <c r="K102" s="386">
        <f t="shared" si="123"/>
        <v>40.32</v>
      </c>
      <c r="L102" s="386"/>
      <c r="M102" s="191">
        <f t="shared" si="124"/>
        <v>0.50396825396825395</v>
      </c>
      <c r="N102" s="152">
        <f t="shared" si="188"/>
        <v>3.4017857142857144</v>
      </c>
      <c r="O102" s="152">
        <f t="shared" si="173"/>
        <v>1.94</v>
      </c>
      <c r="P102" s="191">
        <f t="shared" si="189"/>
        <v>0.17008928571428572</v>
      </c>
      <c r="Q102" s="191">
        <f t="shared" si="127"/>
        <v>20</v>
      </c>
      <c r="R102" s="191">
        <f t="shared" si="190"/>
        <v>0.18898809523809523</v>
      </c>
      <c r="S102" s="152">
        <f t="shared" si="129"/>
        <v>49.715537953435501</v>
      </c>
      <c r="T102" s="467">
        <f t="shared" si="191"/>
        <v>20</v>
      </c>
      <c r="U102" s="191">
        <f t="shared" si="131"/>
        <v>0.42771653543307087</v>
      </c>
      <c r="V102" s="191">
        <f t="shared" si="192"/>
        <v>3.2078740157480308</v>
      </c>
      <c r="W102" s="191">
        <f t="shared" si="133"/>
        <v>3.1573563147126289</v>
      </c>
      <c r="X102" s="175">
        <f t="shared" si="134"/>
        <v>350</v>
      </c>
      <c r="Y102" s="386">
        <f t="shared" si="174"/>
        <v>157.10350577802714</v>
      </c>
      <c r="AA102" s="191">
        <f t="shared" si="135"/>
        <v>0.19198790627362058</v>
      </c>
      <c r="AB102" s="153">
        <f t="shared" si="193"/>
        <v>1.4172335600907029</v>
      </c>
      <c r="AC102" s="153">
        <f t="shared" si="194"/>
        <v>4.7616048182941621E-2</v>
      </c>
      <c r="AD102" s="153"/>
      <c r="AE102" s="153">
        <f t="shared" si="138"/>
        <v>1.1072834645669289</v>
      </c>
      <c r="AF102" s="317">
        <f t="shared" si="195"/>
        <v>1168.0237037037039</v>
      </c>
      <c r="AG102" s="463">
        <f t="shared" si="140"/>
        <v>2.9066190944881887E-2</v>
      </c>
      <c r="AI102" s="153">
        <f t="shared" si="141"/>
        <v>0.28884297559446476</v>
      </c>
      <c r="AJ102" s="153">
        <f t="shared" si="196"/>
        <v>0.42771653543307087</v>
      </c>
      <c r="AK102" s="153">
        <f t="shared" si="197"/>
        <v>1.3851443569553805</v>
      </c>
      <c r="AM102" s="317">
        <f t="shared" si="144"/>
        <v>97</v>
      </c>
      <c r="AN102" s="147">
        <f t="shared" si="145"/>
        <v>157.10350577802714</v>
      </c>
      <c r="AP102">
        <f t="shared" si="146"/>
        <v>97</v>
      </c>
      <c r="AQ102">
        <f t="shared" si="147"/>
        <v>157.10350577802714</v>
      </c>
      <c r="AS102" s="5">
        <f t="shared" si="175"/>
        <v>6.365230330460661</v>
      </c>
      <c r="AT102" s="5">
        <f t="shared" si="148"/>
        <v>3.2078740157480308</v>
      </c>
      <c r="AU102" s="5">
        <f t="shared" si="176"/>
        <v>3.1573563147126302</v>
      </c>
      <c r="AV102" s="5">
        <f t="shared" si="149"/>
        <v>3.1573563147126289</v>
      </c>
      <c r="AW102" s="153">
        <f t="shared" si="177"/>
        <v>0.50396825396825384</v>
      </c>
      <c r="AX102" s="153">
        <f t="shared" si="150"/>
        <v>2.155555555555555</v>
      </c>
      <c r="AY102" s="153">
        <f t="shared" si="151"/>
        <v>0.10608048993875768</v>
      </c>
      <c r="AZ102" s="153">
        <f t="shared" si="178"/>
        <v>20.31999999999999</v>
      </c>
      <c r="BA102" s="147">
        <f t="shared" si="152"/>
        <v>5.9640482169430262</v>
      </c>
      <c r="BB102" s="147">
        <f t="shared" si="153"/>
        <v>16.509218027999999</v>
      </c>
      <c r="BC102" s="5">
        <f t="shared" si="154"/>
        <v>0.34029284725236125</v>
      </c>
      <c r="BD102" s="147">
        <f t="shared" si="155"/>
        <v>34.352618058569462</v>
      </c>
      <c r="BE102" s="5"/>
      <c r="BF102" s="153">
        <f t="shared" si="179"/>
        <v>0.17530608985008006</v>
      </c>
      <c r="BG102" s="153">
        <f t="shared" si="156"/>
        <v>0.17392024922101157</v>
      </c>
      <c r="BH102" s="153"/>
      <c r="BI102" s="463">
        <f t="shared" si="157"/>
        <v>1.075627879848352E-2</v>
      </c>
      <c r="BJ102" s="463">
        <f t="shared" si="158"/>
        <v>1.3546666666666667E-2</v>
      </c>
      <c r="BK102" s="463">
        <f t="shared" si="159"/>
        <v>1.9637938222253392E-3</v>
      </c>
      <c r="BL102" s="463">
        <f t="shared" si="160"/>
        <v>1.2770177319587633E-2</v>
      </c>
      <c r="BM102">
        <f t="shared" si="161"/>
        <v>5.7999999999999996E-3</v>
      </c>
      <c r="BN102">
        <f t="shared" si="162"/>
        <v>5.8913814666760174E-6</v>
      </c>
      <c r="BO102" s="463">
        <f t="shared" si="198"/>
        <v>4.6386962103621844E-2</v>
      </c>
      <c r="BP102" s="147">
        <f t="shared" si="180"/>
        <v>46.386962103621848</v>
      </c>
      <c r="BQ102" s="463">
        <f t="shared" si="164"/>
        <v>6.0163665360071471E-2</v>
      </c>
      <c r="BR102" s="463"/>
      <c r="BT102" s="147">
        <f t="shared" si="181"/>
        <v>60.163665360071469</v>
      </c>
      <c r="BU102" s="463">
        <f t="shared" si="165"/>
        <v>2.4585780110819477E-2</v>
      </c>
      <c r="BV102" s="463">
        <f t="shared" si="166"/>
        <v>2.4077609458922625E-2</v>
      </c>
      <c r="BW102" s="463">
        <f t="shared" si="167"/>
        <v>0</v>
      </c>
      <c r="BX102" s="463">
        <f t="shared" si="199"/>
        <v>5.4716009637526576E-2</v>
      </c>
      <c r="BY102" s="463">
        <f t="shared" si="169"/>
        <v>4.3111111111111107E-2</v>
      </c>
      <c r="BZ102" s="147">
        <f t="shared" si="182"/>
        <v>97.827120748637682</v>
      </c>
      <c r="CA102" s="153">
        <f t="shared" si="183"/>
        <v>0.20437774821233098</v>
      </c>
      <c r="CB102" s="5">
        <f t="shared" si="184"/>
        <v>1.94</v>
      </c>
      <c r="CC102" s="153">
        <f t="shared" si="185"/>
        <v>0.90469135002789913</v>
      </c>
      <c r="CD102" s="5">
        <f t="shared" si="186"/>
        <v>90.469135002789912</v>
      </c>
      <c r="CG102" s="59">
        <f t="shared" si="170"/>
        <v>-50</v>
      </c>
      <c r="CH102">
        <f t="shared" si="171"/>
        <v>-50</v>
      </c>
    </row>
    <row r="103" spans="5:86" x14ac:dyDescent="0.25">
      <c r="E103" s="150">
        <v>98</v>
      </c>
      <c r="F103" s="191">
        <f t="shared" si="200"/>
        <v>9.8000000000000004E-2</v>
      </c>
      <c r="G103" s="191"/>
      <c r="H103" s="191">
        <f t="shared" si="187"/>
        <v>1.96</v>
      </c>
      <c r="I103" s="472">
        <f t="shared" si="121"/>
        <v>20</v>
      </c>
      <c r="J103" s="152">
        <f t="shared" si="122"/>
        <v>20.32</v>
      </c>
      <c r="K103" s="386">
        <f t="shared" si="123"/>
        <v>40.32</v>
      </c>
      <c r="L103" s="386"/>
      <c r="M103" s="191">
        <f t="shared" si="124"/>
        <v>0.50396825396825395</v>
      </c>
      <c r="N103" s="152">
        <f t="shared" si="188"/>
        <v>3.4017857142857144</v>
      </c>
      <c r="O103" s="152">
        <f t="shared" si="173"/>
        <v>1.96</v>
      </c>
      <c r="P103" s="191">
        <f t="shared" si="189"/>
        <v>0.17008928571428572</v>
      </c>
      <c r="Q103" s="191">
        <f t="shared" si="127"/>
        <v>20</v>
      </c>
      <c r="R103" s="191">
        <f t="shared" si="190"/>
        <v>0.18898809523809523</v>
      </c>
      <c r="S103" s="152">
        <f t="shared" si="129"/>
        <v>49.00729662654696</v>
      </c>
      <c r="T103" s="467">
        <f t="shared" si="191"/>
        <v>20</v>
      </c>
      <c r="U103" s="191">
        <f t="shared" si="131"/>
        <v>0.43212598425196852</v>
      </c>
      <c r="V103" s="191">
        <f t="shared" si="192"/>
        <v>3.2409448818897633</v>
      </c>
      <c r="W103" s="191">
        <f t="shared" si="133"/>
        <v>3.1899063798127596</v>
      </c>
      <c r="X103" s="175">
        <f t="shared" si="134"/>
        <v>350</v>
      </c>
      <c r="Y103" s="386">
        <f t="shared" si="174"/>
        <v>155.50040878029216</v>
      </c>
      <c r="AA103" s="191">
        <f t="shared" si="135"/>
        <v>0.19198790627362058</v>
      </c>
      <c r="AB103" s="153">
        <f t="shared" si="193"/>
        <v>1.4172335600907029</v>
      </c>
      <c r="AC103" s="153">
        <f t="shared" si="194"/>
        <v>4.7616048182941621E-2</v>
      </c>
      <c r="AD103" s="153"/>
      <c r="AE103" s="153">
        <f t="shared" si="138"/>
        <v>1.1072834645669289</v>
      </c>
      <c r="AF103" s="317">
        <f t="shared" si="195"/>
        <v>1180.0651851851853</v>
      </c>
      <c r="AG103" s="463">
        <f t="shared" si="140"/>
        <v>2.9066190944881887E-2</v>
      </c>
      <c r="AI103" s="153">
        <f t="shared" si="141"/>
        <v>0.29032803924245826</v>
      </c>
      <c r="AJ103" s="153">
        <f t="shared" si="196"/>
        <v>0.43212598425196852</v>
      </c>
      <c r="AK103" s="153">
        <f t="shared" si="197"/>
        <v>1.3880839895013124</v>
      </c>
      <c r="AM103" s="317">
        <f t="shared" si="144"/>
        <v>98</v>
      </c>
      <c r="AN103" s="147">
        <f t="shared" si="145"/>
        <v>155.50040878029216</v>
      </c>
      <c r="AP103">
        <f t="shared" si="146"/>
        <v>98</v>
      </c>
      <c r="AQ103">
        <f t="shared" si="147"/>
        <v>155.50040878029216</v>
      </c>
      <c r="AS103" s="5">
        <f t="shared" si="175"/>
        <v>6.4308512617025242</v>
      </c>
      <c r="AT103" s="5">
        <f t="shared" si="148"/>
        <v>3.2409448818897633</v>
      </c>
      <c r="AU103" s="5">
        <f t="shared" si="176"/>
        <v>3.1899063798127609</v>
      </c>
      <c r="AV103" s="5">
        <f t="shared" si="149"/>
        <v>3.1899063798127596</v>
      </c>
      <c r="AW103" s="153">
        <f t="shared" si="177"/>
        <v>0.50396825396825384</v>
      </c>
      <c r="AX103" s="153">
        <f t="shared" si="150"/>
        <v>2.1777777777777776</v>
      </c>
      <c r="AY103" s="153">
        <f t="shared" si="151"/>
        <v>0.10717410323709539</v>
      </c>
      <c r="AZ103" s="153">
        <f t="shared" si="178"/>
        <v>20.319999999999993</v>
      </c>
      <c r="BA103" s="147">
        <f t="shared" si="152"/>
        <v>5.9640482169430262</v>
      </c>
      <c r="BB103" s="147">
        <f t="shared" si="153"/>
        <v>16.848337967999999</v>
      </c>
      <c r="BC103" s="5">
        <f t="shared" si="154"/>
        <v>0.34734536135738953</v>
      </c>
      <c r="BD103" s="147">
        <f t="shared" si="155"/>
        <v>35.061202802405617</v>
      </c>
      <c r="BE103" s="5"/>
      <c r="BF103" s="153">
        <f t="shared" si="179"/>
        <v>0.17711336912688502</v>
      </c>
      <c r="BG103" s="153">
        <f t="shared" si="156"/>
        <v>0.17571324148102199</v>
      </c>
      <c r="BH103" s="153"/>
      <c r="BI103" s="463">
        <f t="shared" si="157"/>
        <v>1.0979200933216679E-2</v>
      </c>
      <c r="BJ103" s="463">
        <f t="shared" si="158"/>
        <v>1.3546666666666667E-2</v>
      </c>
      <c r="BK103" s="463">
        <f t="shared" si="159"/>
        <v>1.9437551097536518E-3</v>
      </c>
      <c r="BL103" s="463">
        <f t="shared" si="160"/>
        <v>1.2639869387755104E-2</v>
      </c>
      <c r="BM103">
        <f t="shared" si="161"/>
        <v>5.7999999999999996E-3</v>
      </c>
      <c r="BN103">
        <f t="shared" si="162"/>
        <v>5.8312653292609559E-6</v>
      </c>
      <c r="BO103" s="463">
        <f t="shared" si="198"/>
        <v>4.6491691969044562E-2</v>
      </c>
      <c r="BP103" s="147">
        <f t="shared" si="180"/>
        <v>46.49169196904456</v>
      </c>
      <c r="BQ103" s="463">
        <f t="shared" si="164"/>
        <v>6.1024609429070717E-2</v>
      </c>
      <c r="BR103" s="463"/>
      <c r="BT103" s="147">
        <f t="shared" si="181"/>
        <v>61.024609429070715</v>
      </c>
      <c r="BU103" s="463">
        <f t="shared" si="165"/>
        <v>2.5095316418780985E-2</v>
      </c>
      <c r="BV103" s="463">
        <f t="shared" si="166"/>
        <v>2.4576614012487289E-2</v>
      </c>
      <c r="BW103" s="463">
        <f t="shared" si="167"/>
        <v>0</v>
      </c>
      <c r="BX103" s="463">
        <f t="shared" si="199"/>
        <v>5.5854514206535616E-2</v>
      </c>
      <c r="BY103" s="463">
        <f t="shared" si="169"/>
        <v>4.3555555555555556E-2</v>
      </c>
      <c r="BZ103" s="147">
        <f t="shared" si="182"/>
        <v>99.410069762091169</v>
      </c>
      <c r="CA103" s="153">
        <f t="shared" si="183"/>
        <v>0.20692637116020646</v>
      </c>
      <c r="CB103" s="5">
        <f t="shared" si="184"/>
        <v>1.96</v>
      </c>
      <c r="CC103" s="153">
        <f t="shared" si="185"/>
        <v>0.90450696714285928</v>
      </c>
      <c r="CD103" s="5">
        <f t="shared" si="186"/>
        <v>90.450696714285925</v>
      </c>
      <c r="CG103" s="59">
        <f t="shared" si="170"/>
        <v>-50</v>
      </c>
      <c r="CH103">
        <f t="shared" si="171"/>
        <v>-50</v>
      </c>
    </row>
    <row r="104" spans="5:86" x14ac:dyDescent="0.25">
      <c r="E104" s="150">
        <v>99</v>
      </c>
      <c r="F104" s="191">
        <f t="shared" si="200"/>
        <v>9.9000000000000005E-2</v>
      </c>
      <c r="G104" s="191"/>
      <c r="H104" s="191">
        <f t="shared" si="187"/>
        <v>1.98</v>
      </c>
      <c r="I104" s="472">
        <f t="shared" si="121"/>
        <v>20</v>
      </c>
      <c r="J104" s="152">
        <f t="shared" si="122"/>
        <v>20.32</v>
      </c>
      <c r="K104" s="386">
        <f t="shared" si="123"/>
        <v>40.32</v>
      </c>
      <c r="L104" s="386"/>
      <c r="M104" s="191">
        <f t="shared" si="124"/>
        <v>0.50396825396825395</v>
      </c>
      <c r="N104" s="152">
        <f t="shared" si="188"/>
        <v>3.4017857142857144</v>
      </c>
      <c r="O104" s="152">
        <f t="shared" si="173"/>
        <v>1.98</v>
      </c>
      <c r="P104" s="191">
        <f t="shared" si="189"/>
        <v>0.17008928571428572</v>
      </c>
      <c r="Q104" s="191">
        <f t="shared" si="127"/>
        <v>20</v>
      </c>
      <c r="R104" s="191">
        <f t="shared" si="190"/>
        <v>0.18898809523809523</v>
      </c>
      <c r="S104" s="152">
        <f t="shared" si="129"/>
        <v>48.313414945220643</v>
      </c>
      <c r="T104" s="467">
        <f t="shared" si="191"/>
        <v>20</v>
      </c>
      <c r="U104" s="191">
        <f t="shared" si="131"/>
        <v>0.43653543307086617</v>
      </c>
      <c r="V104" s="191">
        <f t="shared" si="192"/>
        <v>3.2740157480314962</v>
      </c>
      <c r="W104" s="191">
        <f t="shared" si="133"/>
        <v>3.2224564449128903</v>
      </c>
      <c r="X104" s="175">
        <f t="shared" si="134"/>
        <v>350</v>
      </c>
      <c r="Y104" s="386">
        <f t="shared" si="174"/>
        <v>153.92969758049122</v>
      </c>
      <c r="AA104" s="191">
        <f t="shared" si="135"/>
        <v>0.19198790627362058</v>
      </c>
      <c r="AB104" s="153">
        <f t="shared" si="193"/>
        <v>1.4172335600907029</v>
      </c>
      <c r="AC104" s="153">
        <f t="shared" si="194"/>
        <v>4.7616048182941621E-2</v>
      </c>
      <c r="AD104" s="153"/>
      <c r="AE104" s="153">
        <f t="shared" si="138"/>
        <v>1.1072834645669289</v>
      </c>
      <c r="AF104" s="317">
        <f t="shared" si="195"/>
        <v>1192.1066666666668</v>
      </c>
      <c r="AG104" s="463">
        <f t="shared" si="140"/>
        <v>2.9066190944881887E-2</v>
      </c>
      <c r="AI104" s="153">
        <f t="shared" si="141"/>
        <v>0.29180554516745599</v>
      </c>
      <c r="AJ104" s="153">
        <f t="shared" si="196"/>
        <v>0.43653543307086617</v>
      </c>
      <c r="AK104" s="153">
        <f t="shared" si="197"/>
        <v>1.3910236220472441</v>
      </c>
      <c r="AM104" s="317">
        <f t="shared" si="144"/>
        <v>99</v>
      </c>
      <c r="AN104" s="147">
        <f t="shared" si="145"/>
        <v>153.92969758049122</v>
      </c>
      <c r="AP104">
        <f t="shared" si="146"/>
        <v>99</v>
      </c>
      <c r="AQ104">
        <f t="shared" si="147"/>
        <v>153.92969758049122</v>
      </c>
      <c r="AS104" s="5">
        <f t="shared" si="175"/>
        <v>6.4964721929443865</v>
      </c>
      <c r="AT104" s="5">
        <f t="shared" si="148"/>
        <v>3.2740157480314962</v>
      </c>
      <c r="AU104" s="5">
        <f t="shared" si="176"/>
        <v>3.2224564449128903</v>
      </c>
      <c r="AV104" s="5">
        <f t="shared" si="149"/>
        <v>3.2224564449128903</v>
      </c>
      <c r="AW104" s="153">
        <f t="shared" si="177"/>
        <v>0.50396825396825395</v>
      </c>
      <c r="AX104" s="153">
        <f t="shared" si="150"/>
        <v>2.2000000000000002</v>
      </c>
      <c r="AY104" s="153">
        <f t="shared" si="151"/>
        <v>0.10826771653543309</v>
      </c>
      <c r="AZ104" s="153">
        <f t="shared" si="178"/>
        <v>20.32</v>
      </c>
      <c r="BA104" s="147">
        <f t="shared" si="152"/>
        <v>5.9640482169430262</v>
      </c>
      <c r="BB104" s="147">
        <f t="shared" si="153"/>
        <v>17.190905292</v>
      </c>
      <c r="BC104" s="5">
        <f t="shared" si="154"/>
        <v>0.35447020894041786</v>
      </c>
      <c r="BD104" s="147">
        <f t="shared" si="155"/>
        <v>35.77702089404179</v>
      </c>
      <c r="BE104" s="5"/>
      <c r="BF104" s="153">
        <f t="shared" si="179"/>
        <v>0.17892064840369001</v>
      </c>
      <c r="BG104" s="153">
        <f t="shared" si="156"/>
        <v>0.17750623374103244</v>
      </c>
      <c r="BH104" s="153"/>
      <c r="BI104" s="463">
        <f t="shared" si="157"/>
        <v>1.1204409448818901E-2</v>
      </c>
      <c r="BJ104" s="463">
        <f t="shared" si="158"/>
        <v>1.3546666666666667E-2</v>
      </c>
      <c r="BK104" s="463">
        <f t="shared" si="159"/>
        <v>1.9241212197561404E-3</v>
      </c>
      <c r="BL104" s="463">
        <f t="shared" si="160"/>
        <v>1.2512193939393941E-2</v>
      </c>
      <c r="BM104">
        <f t="shared" si="161"/>
        <v>5.7999999999999996E-3</v>
      </c>
      <c r="BN104">
        <f t="shared" si="162"/>
        <v>5.7723636592684209E-6</v>
      </c>
      <c r="BO104" s="463">
        <f t="shared" si="198"/>
        <v>4.660209539663588E-2</v>
      </c>
      <c r="BP104" s="147">
        <f t="shared" si="180"/>
        <v>46.602095396635882</v>
      </c>
      <c r="BQ104" s="463">
        <f t="shared" si="164"/>
        <v>6.1890465744931497E-2</v>
      </c>
      <c r="BR104" s="463"/>
      <c r="BT104" s="147">
        <f t="shared" si="181"/>
        <v>61.890465744931497</v>
      </c>
      <c r="BU104" s="463">
        <f t="shared" si="165"/>
        <v>2.5610078740157489E-2</v>
      </c>
      <c r="BV104" s="463">
        <f t="shared" si="166"/>
        <v>2.5080736561473131E-2</v>
      </c>
      <c r="BW104" s="463">
        <f t="shared" si="167"/>
        <v>0</v>
      </c>
      <c r="BX104" s="463">
        <f t="shared" si="199"/>
        <v>5.7004883057695799E-2</v>
      </c>
      <c r="BY104" s="463">
        <f t="shared" si="169"/>
        <v>4.3999999999999997E-2</v>
      </c>
      <c r="BZ104" s="147">
        <f t="shared" si="182"/>
        <v>101.00488305769579</v>
      </c>
      <c r="CA104" s="153">
        <f t="shared" si="183"/>
        <v>0.20949744419926319</v>
      </c>
      <c r="CB104" s="5">
        <f t="shared" si="184"/>
        <v>1.98</v>
      </c>
      <c r="CC104" s="153">
        <f t="shared" si="185"/>
        <v>0.9043171095018655</v>
      </c>
      <c r="CD104" s="5">
        <f t="shared" si="186"/>
        <v>90.431710950186556</v>
      </c>
      <c r="CG104" s="59">
        <f t="shared" si="170"/>
        <v>-50</v>
      </c>
      <c r="CH104">
        <f t="shared" si="171"/>
        <v>-50</v>
      </c>
    </row>
    <row r="105" spans="5:86" x14ac:dyDescent="0.25">
      <c r="E105" s="150">
        <v>100</v>
      </c>
      <c r="F105" s="191">
        <f t="shared" si="200"/>
        <v>0.1</v>
      </c>
      <c r="G105" s="191"/>
      <c r="H105" s="191">
        <f t="shared" si="187"/>
        <v>2</v>
      </c>
      <c r="I105" s="472">
        <f t="shared" si="121"/>
        <v>20</v>
      </c>
      <c r="J105" s="152">
        <f t="shared" si="122"/>
        <v>20.32</v>
      </c>
      <c r="K105" s="386">
        <f t="shared" si="123"/>
        <v>40.32</v>
      </c>
      <c r="L105" s="386"/>
      <c r="M105" s="191">
        <f t="shared" si="124"/>
        <v>0.50396825396825395</v>
      </c>
      <c r="N105" s="152">
        <f t="shared" si="188"/>
        <v>3.4017857142857144</v>
      </c>
      <c r="O105" s="152">
        <f t="shared" si="173"/>
        <v>2</v>
      </c>
      <c r="P105" s="191">
        <f t="shared" si="189"/>
        <v>0.17008928571428572</v>
      </c>
      <c r="Q105" s="191">
        <f t="shared" si="127"/>
        <v>20</v>
      </c>
      <c r="R105" s="191">
        <f t="shared" si="190"/>
        <v>0.18898809523809523</v>
      </c>
      <c r="S105" s="152">
        <f t="shared" si="129"/>
        <v>47.633462728983112</v>
      </c>
      <c r="T105" s="467">
        <f t="shared" si="191"/>
        <v>20</v>
      </c>
      <c r="U105" s="191">
        <f t="shared" si="131"/>
        <v>0.44094488188976377</v>
      </c>
      <c r="V105" s="191">
        <f t="shared" si="192"/>
        <v>3.3070866141732274</v>
      </c>
      <c r="W105" s="191">
        <f t="shared" si="133"/>
        <v>3.2550065100130192</v>
      </c>
      <c r="X105" s="175">
        <f t="shared" si="134"/>
        <v>350</v>
      </c>
      <c r="Y105" s="386">
        <f t="shared" si="174"/>
        <v>152.39040060468636</v>
      </c>
      <c r="AA105" s="191">
        <f t="shared" si="135"/>
        <v>0.19198790627362058</v>
      </c>
      <c r="AB105" s="153">
        <f t="shared" si="193"/>
        <v>1.4172335600907029</v>
      </c>
      <c r="AC105" s="153">
        <f t="shared" si="194"/>
        <v>4.7616048182941621E-2</v>
      </c>
      <c r="AD105" s="153"/>
      <c r="AE105" s="153">
        <f t="shared" si="138"/>
        <v>1.1072834645669289</v>
      </c>
      <c r="AF105" s="317">
        <f t="shared" si="195"/>
        <v>1204.1481481481483</v>
      </c>
      <c r="AG105" s="463">
        <f t="shared" si="140"/>
        <v>2.9066190944881887E-2</v>
      </c>
      <c r="AI105" s="153">
        <f t="shared" si="141"/>
        <v>0.29327560759562332</v>
      </c>
      <c r="AJ105" s="153">
        <f t="shared" si="196"/>
        <v>0.44094488188976377</v>
      </c>
      <c r="AK105" s="153">
        <f t="shared" si="197"/>
        <v>1.3939632545931757</v>
      </c>
      <c r="AM105" s="317">
        <f t="shared" si="144"/>
        <v>100</v>
      </c>
      <c r="AN105" s="147">
        <f t="shared" si="145"/>
        <v>152.39040060468636</v>
      </c>
      <c r="AP105">
        <f t="shared" si="146"/>
        <v>100</v>
      </c>
      <c r="AQ105" s="3">
        <f t="shared" si="147"/>
        <v>152.39040060468636</v>
      </c>
      <c r="AS105" s="5">
        <f t="shared" si="175"/>
        <v>6.5620931241862461</v>
      </c>
      <c r="AT105" s="5">
        <f t="shared" si="148"/>
        <v>3.3070866141732274</v>
      </c>
      <c r="AU105" s="5">
        <f t="shared" si="176"/>
        <v>3.2550065100130188</v>
      </c>
      <c r="AV105" s="5">
        <f t="shared" si="149"/>
        <v>3.2550065100130192</v>
      </c>
      <c r="AW105" s="153">
        <f t="shared" si="177"/>
        <v>0.50396825396825395</v>
      </c>
      <c r="AX105" s="153">
        <f t="shared" si="150"/>
        <v>2.2222222222222228</v>
      </c>
      <c r="AY105" s="153">
        <f t="shared" si="151"/>
        <v>0.10936132983377078</v>
      </c>
      <c r="AZ105" s="153">
        <f t="shared" si="178"/>
        <v>20.320000000000004</v>
      </c>
      <c r="BA105" s="147">
        <f t="shared" si="152"/>
        <v>5.9640482169430262</v>
      </c>
      <c r="BB105" s="147">
        <f t="shared" si="153"/>
        <v>17.536920000000002</v>
      </c>
      <c r="BC105" s="5">
        <f t="shared" si="154"/>
        <v>0.36166739000144654</v>
      </c>
      <c r="BD105" s="147">
        <f t="shared" si="155"/>
        <v>36.500072333477981</v>
      </c>
      <c r="BE105" s="5"/>
      <c r="BF105" s="153">
        <f t="shared" si="179"/>
        <v>0.18072792768049495</v>
      </c>
      <c r="BG105" s="153">
        <f t="shared" si="156"/>
        <v>0.17929922600104284</v>
      </c>
      <c r="BH105" s="153"/>
      <c r="BI105" s="463">
        <f t="shared" si="157"/>
        <v>1.1431904345290175E-2</v>
      </c>
      <c r="BJ105" s="463">
        <f t="shared" si="158"/>
        <v>1.354666666666667E-2</v>
      </c>
      <c r="BK105" s="463">
        <f t="shared" si="159"/>
        <v>1.9048800075585795E-3</v>
      </c>
      <c r="BL105" s="463">
        <f t="shared" si="160"/>
        <v>1.2387072000000006E-2</v>
      </c>
      <c r="BM105">
        <f t="shared" si="161"/>
        <v>5.7999999999999996E-3</v>
      </c>
      <c r="BN105">
        <f t="shared" si="162"/>
        <v>5.7146400226757383E-6</v>
      </c>
      <c r="BO105" s="463">
        <f t="shared" si="198"/>
        <v>4.6718081886845897E-2</v>
      </c>
      <c r="BP105" s="147">
        <f t="shared" si="180"/>
        <v>46.718081886845894</v>
      </c>
      <c r="BQ105" s="463">
        <f t="shared" si="164"/>
        <v>6.2761234307653818E-2</v>
      </c>
      <c r="BR105" s="463"/>
      <c r="BT105" s="147">
        <f t="shared" si="181"/>
        <v>62.761234307653815</v>
      </c>
      <c r="BU105" s="463">
        <f t="shared" si="165"/>
        <v>2.6130067074948971E-2</v>
      </c>
      <c r="BV105" s="463">
        <f t="shared" si="166"/>
        <v>2.5589977105880134E-2</v>
      </c>
      <c r="BW105" s="463">
        <f t="shared" si="167"/>
        <v>0</v>
      </c>
      <c r="BX105" s="463">
        <f t="shared" si="199"/>
        <v>5.8167121971989644E-2</v>
      </c>
      <c r="BY105" s="463">
        <f t="shared" si="169"/>
        <v>4.444444444444446E-2</v>
      </c>
      <c r="BZ105" s="147">
        <f t="shared" si="182"/>
        <v>102.6115664164341</v>
      </c>
      <c r="CA105" s="153">
        <f t="shared" si="183"/>
        <v>0.21209088261093381</v>
      </c>
      <c r="CB105" s="5">
        <f t="shared" si="184"/>
        <v>2</v>
      </c>
      <c r="CC105" s="153">
        <f t="shared" si="185"/>
        <v>0.90412198509647002</v>
      </c>
      <c r="CD105" s="5">
        <f t="shared" si="186"/>
        <v>90.412198509646998</v>
      </c>
      <c r="CG105" s="59">
        <f t="shared" si="170"/>
        <v>-50</v>
      </c>
      <c r="CH105">
        <f t="shared" si="171"/>
        <v>-50</v>
      </c>
    </row>
    <row r="106" spans="5:86" x14ac:dyDescent="0.25">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5">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5">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0.10550841200545705</v>
      </c>
    </row>
    <row r="109" spans="5:86" ht="45" customHeight="1" thickBot="1" x14ac:dyDescent="0.3">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5">
      <c r="E110" s="150">
        <v>0.1</v>
      </c>
      <c r="F110" s="191">
        <v>1.0000000000000001E-9</v>
      </c>
      <c r="G110" s="191"/>
      <c r="H110" s="191">
        <f t="shared" ref="H110:H141" si="201">F110*Vout</f>
        <v>2E-8</v>
      </c>
      <c r="I110" s="472">
        <f t="shared" ref="I110:I141" si="202">VIN_min</f>
        <v>9</v>
      </c>
      <c r="J110" s="386">
        <f t="shared" ref="J110:J141" si="203">(T110+Vfwd1)*Nps</f>
        <v>20.32</v>
      </c>
      <c r="K110" s="386">
        <f t="shared" ref="K110:K141" si="204">(Vout+Vfwd1)*Nps+I110</f>
        <v>29.32</v>
      </c>
      <c r="L110" s="386"/>
      <c r="M110" s="191">
        <f t="shared" ref="M110:M141" si="205">(Vout+Vfwd1)*Nps/((Vout+Vfwd1)*Nps+I110)</f>
        <v>0.69304229195088674</v>
      </c>
      <c r="N110" s="152">
        <f t="shared" ref="N110:N141" si="206">M110*I110*(Isw_max+VIN_min/Lmag*ILIM_delay)*0.5*Efficiency</f>
        <v>2.1101682401091408</v>
      </c>
      <c r="O110" s="152">
        <f t="shared" si="173"/>
        <v>2E-8</v>
      </c>
      <c r="P110" s="191">
        <f t="shared" ref="P110:P141" si="207">N110/Vout</f>
        <v>0.10550841200545705</v>
      </c>
      <c r="Q110" s="191">
        <f t="shared" ref="Q110:Q141" si="208">MIN(Vout,N110/F110)</f>
        <v>20</v>
      </c>
      <c r="R110" s="191"/>
      <c r="S110" s="152">
        <f t="shared" ref="S110:S141" si="209">(SQRT(Isw_max^2*Nps^2*I110^2+4*Isw_max*F110/Efficiency*(Nps^2*Vfwd1*I110-Nps*I110^2)+4*(F110/Efficiency)^2*Nps^2*Vfwd1^2+8*(F110/Efficiency)^2*Nps*Vfwd1*I110+4*(F110/Efficiency)^2*I110^2)-2*F110/Efficiency*I110-2*F110/Efficiency*Nps*Vfwd1+Isw_max*Nps*I110)/(4*F110/Efficiency*Nps)</f>
        <v>3037499991</v>
      </c>
      <c r="T110" s="152">
        <f t="shared" ref="T110:T141" si="210">MIN(Vout, S110)</f>
        <v>20</v>
      </c>
      <c r="U110" s="191">
        <f t="shared" ref="U110:U141" si="211">MIN(2*Vout*F110/(Efficiency*I110*M110), Isw_max)</f>
        <v>7.125498201613688E-9</v>
      </c>
      <c r="V110" s="191">
        <f t="shared" ref="V110:V141" si="212">L*U110/I110*1000000</f>
        <v>1.1875830336022812E-7</v>
      </c>
      <c r="W110" s="191">
        <f t="shared" ref="W110:W141" si="213">L*U110/J110*1000000</f>
        <v>5.259964223632151E-8</v>
      </c>
      <c r="X110" s="175">
        <f t="shared" ref="X110:X141" si="214">IF(1/((350000*L)*(1/I110+1/J110))&gt;Isw_min, 350, 0.001/((Isw_min*L)*(1/I110+1/J110)))</f>
        <v>277.21691678035478</v>
      </c>
      <c r="Y110" s="386">
        <f t="shared" ref="Y110:Y169" si="215">MIN(1/(V110+W110)*1000, 350)</f>
        <v>350</v>
      </c>
      <c r="AA110" s="191">
        <f t="shared" ref="AA110:AA141" si="216">1/((X110*1000*L)*(1/I110+1/J110))</f>
        <v>0.14999999999999997</v>
      </c>
      <c r="AB110" s="153">
        <f t="shared" ref="AB110:AB141" si="217">L*AA110/J110*1000000</f>
        <v>1.1072834645669287</v>
      </c>
      <c r="AC110" s="153">
        <f t="shared" ref="AC110:AC141" si="218">0.5*AB110*AA110*Nps*X110/1000</f>
        <v>2.3021828103683487E-2</v>
      </c>
      <c r="AD110" s="153"/>
      <c r="AE110" s="153">
        <f t="shared" ref="AE110:AE141" si="219">L*Isw_min/J110*1000000</f>
        <v>1.1072834645669289</v>
      </c>
      <c r="AF110" s="317">
        <f t="shared" ref="AF110:AF141" si="220">MAX(12000,F110/(0.5*AE110/1000000*Isw_min*Nps))/1000</f>
        <v>12</v>
      </c>
      <c r="AG110" s="463">
        <f t="shared" ref="AG110:AG141" si="221">0.5*AE110/1000000*Isw_min*Nps*X110*1000</f>
        <v>2.3021828103683497E-2</v>
      </c>
      <c r="AI110" s="153">
        <f t="shared" ref="AI110:AI141" si="222">SQRT(F110/(0.5*L/J110*Fsw_DCM*Nps))</f>
        <v>2.7822567065158423E-5</v>
      </c>
      <c r="AJ110" s="153">
        <f t="shared" ref="AJ110:AJ141" si="223">MAX(IF(F110&gt;AC110,U110,AI110),Isw_min)</f>
        <v>0.15</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2.5</v>
      </c>
      <c r="AU110" s="5">
        <f t="shared" ref="AU110:AU169" si="230">AS110-AT110</f>
        <v>80.833333333333329</v>
      </c>
      <c r="AV110" s="5"/>
      <c r="AW110" s="153">
        <f t="shared" ref="AW110:AW169" si="231">AT110/AS110</f>
        <v>3.0000000000000002E-2</v>
      </c>
      <c r="AX110" s="153">
        <f t="shared" si="150"/>
        <v>2.0249999999999997E-2</v>
      </c>
      <c r="AY110" s="153">
        <f t="shared" si="151"/>
        <v>7.2749999999999995E-2</v>
      </c>
      <c r="AZ110" s="153">
        <f t="shared" si="178"/>
        <v>0.27835051546391748</v>
      </c>
      <c r="BA110" s="147">
        <f t="shared" ref="BA110:BA141" si="232">L*Isw_max^2/(2*Vout_ripple*Vout)*1000000000*((1+M110)/2)^2</f>
        <v>7.5578700647486725</v>
      </c>
      <c r="BB110" s="147">
        <f t="shared" ref="BB110:BB141" si="233">L*F110^2/(2*Cout*Vout*Nps^2)*1000000000*((1+M110)/(1-M110))^2+F110*RCoutEsr</f>
        <v>3.000005704003704E-9</v>
      </c>
      <c r="BC110" s="5">
        <f t="shared" ref="BC110:BC116" si="234">H110/Efficiency/I110*AU110/Vinripple1</f>
        <v>1.9958847736625515E-7</v>
      </c>
      <c r="BD110" s="147">
        <f t="shared" ref="BD110:BD141" si="235">((CB110/I110/Efficiency)*AU110/Cin+(CB110/I110/Efficiency)*RCinEsr)*1000</f>
        <v>1.996625514403292E-5</v>
      </c>
      <c r="BF110" s="153">
        <f t="shared" si="179"/>
        <v>1.4999999999999999E-2</v>
      </c>
      <c r="BG110" s="153">
        <f t="shared" si="156"/>
        <v>8.5293610546159901E-2</v>
      </c>
      <c r="BI110" s="463">
        <f t="shared" ref="BI110:BI169" si="236">Rdson*BF110^2</f>
        <v>7.874999999999999E-5</v>
      </c>
      <c r="BJ110" s="463">
        <f t="shared" ref="BJ110:BJ169" si="237">0.5*K110*AJ110*AN110*1000*Trise</f>
        <v>2.6387999999999997E-4</v>
      </c>
      <c r="BK110" s="463">
        <f t="shared" ref="BK110:BK169" si="238">Qg*Vdd*AN110*1000</f>
        <v>1.4999999999999999E-4</v>
      </c>
      <c r="BL110" s="463">
        <f t="shared" ref="BL110:BL169" si="239">0.5*(Coss+Csw)*K110^2*AN110*1000</f>
        <v>5.1579744E-4</v>
      </c>
      <c r="BM110">
        <f t="shared" ref="BM110:BM169" si="240">I110*IQ</f>
        <v>2.6099999999999999E-3</v>
      </c>
      <c r="BN110">
        <f t="shared" ref="BN110:BN141" si="241">(I110-Vdd)*Qg*AN110</f>
        <v>1.2000000000000002E-7</v>
      </c>
      <c r="BO110" s="463">
        <f t="shared" ref="BO110:BO141" si="242">(BJ110+BK110+BL110+BM110+BN110+BI110*(1+RdsonTC*(Ta-25)))/(1-BI110*RdsonTC*ThetaJA)</f>
        <v>3.6292314204642694E-3</v>
      </c>
      <c r="BP110" s="147">
        <f t="shared" ref="BP110:BP169" si="243">SUM(BI110:BM110)*1000</f>
        <v>3.6184274400000001</v>
      </c>
      <c r="BQ110" s="463">
        <f t="shared" ref="BQ110:BQ141" si="244">(Vfwd2*F110+BG110^2*Rdiode)*(1+Diode_TC/1000*(Ta-25))</f>
        <v>5.5581003820000001E-3</v>
      </c>
      <c r="BT110" s="147">
        <f t="shared" ref="BT110:BT169" si="245">SUM(BQ110:BS110)*1000</f>
        <v>5.5581003820000001</v>
      </c>
      <c r="BU110" s="463">
        <f t="shared" ref="BU110:BU169" si="246">Rdcr_pri*BF110^2</f>
        <v>1.8000000000000001E-4</v>
      </c>
      <c r="BV110" s="463">
        <f t="shared" ref="BV110:BV169" si="247">Rdcr_sec*BG110^2</f>
        <v>5.7908999999999999E-3</v>
      </c>
      <c r="BW110" s="463">
        <f t="shared" ref="BW110:BW169" si="248">AJ110^2.5*AN110^2.5*k_core</f>
        <v>0</v>
      </c>
      <c r="BX110" s="463"/>
      <c r="BY110" s="463">
        <f t="shared" ref="BY110:BY169" si="249">0.5*Lleak*0.000000001*AJ110^2*AN110*1000</f>
        <v>4.0500000000000003E-4</v>
      </c>
      <c r="BZ110" s="147">
        <f t="shared" ref="BZ110:BZ169" si="250">SUM(BU110:BY110)*1000</f>
        <v>6.3758999999999997</v>
      </c>
      <c r="CA110" s="153">
        <f t="shared" ref="CA110:CA169" si="251">SUM(BI110:BM110,BQ110:BS110,BU110:BY110)</f>
        <v>1.5552427822E-2</v>
      </c>
      <c r="CB110" s="5">
        <f t="shared" ref="CB110:CB169" si="252">MIN(H110,O110)</f>
        <v>2E-8</v>
      </c>
      <c r="CC110" s="153">
        <f t="shared" ref="CC110:CC169" si="253">CB110/(CB110+CA110)</f>
        <v>1.2859712007333427E-6</v>
      </c>
      <c r="CD110" s="5">
        <f t="shared" ref="CD110:CD169" si="254">CC110*100</f>
        <v>1.2859712007333427E-4</v>
      </c>
      <c r="CG110" s="59">
        <f t="shared" ref="CG110:CG141" si="255">IF(ABS(F110-Ioutmax_Vinmin)&lt;Iout/200, AN110, -50)</f>
        <v>-50</v>
      </c>
      <c r="CH110">
        <f t="shared" ref="CH110:CH141" si="256">IF(ABS(F110-Ioutmax_Vinmin)&lt;Iout/200, N110*CC110, -50)</f>
        <v>-50</v>
      </c>
    </row>
    <row r="111" spans="5:86" x14ac:dyDescent="0.25">
      <c r="E111" s="150">
        <v>1</v>
      </c>
      <c r="F111" s="191">
        <f t="shared" ref="F111:F142" si="257">IF(PLOT_TYPE=1, E111/100*Iout_max, min_I*EXP(N111*rr/100))</f>
        <v>1E-3</v>
      </c>
      <c r="G111" s="191"/>
      <c r="H111" s="191">
        <f t="shared" si="201"/>
        <v>0.02</v>
      </c>
      <c r="I111" s="472">
        <f t="shared" si="202"/>
        <v>9</v>
      </c>
      <c r="J111" s="386">
        <f t="shared" si="203"/>
        <v>20.32</v>
      </c>
      <c r="K111" s="386">
        <f t="shared" si="204"/>
        <v>29.32</v>
      </c>
      <c r="L111" s="386"/>
      <c r="M111" s="191">
        <f t="shared" si="205"/>
        <v>0.69304229195088674</v>
      </c>
      <c r="N111" s="152">
        <f t="shared" si="206"/>
        <v>2.1101682401091408</v>
      </c>
      <c r="O111" s="152">
        <f t="shared" si="173"/>
        <v>0.02</v>
      </c>
      <c r="P111" s="191">
        <f t="shared" si="207"/>
        <v>0.10550841200545705</v>
      </c>
      <c r="Q111" s="191">
        <f t="shared" si="208"/>
        <v>20</v>
      </c>
      <c r="R111" s="191"/>
      <c r="S111" s="152">
        <f t="shared" si="209"/>
        <v>3028.5009508650551</v>
      </c>
      <c r="T111" s="152">
        <f t="shared" si="210"/>
        <v>20</v>
      </c>
      <c r="U111" s="191">
        <f t="shared" si="211"/>
        <v>7.1254982016136876E-3</v>
      </c>
      <c r="V111" s="191">
        <f t="shared" si="212"/>
        <v>0.11875830336022811</v>
      </c>
      <c r="W111" s="191">
        <f t="shared" si="213"/>
        <v>5.2599642236321506E-2</v>
      </c>
      <c r="X111" s="175">
        <f t="shared" si="214"/>
        <v>277.21691678035478</v>
      </c>
      <c r="Y111" s="386">
        <f t="shared" si="215"/>
        <v>350</v>
      </c>
      <c r="AA111" s="191">
        <f t="shared" si="216"/>
        <v>0.14999999999999997</v>
      </c>
      <c r="AB111" s="153">
        <f t="shared" si="217"/>
        <v>1.1072834645669287</v>
      </c>
      <c r="AC111" s="153">
        <f t="shared" si="218"/>
        <v>2.3021828103683487E-2</v>
      </c>
      <c r="AD111" s="153"/>
      <c r="AE111" s="153">
        <f t="shared" si="219"/>
        <v>1.1072834645669289</v>
      </c>
      <c r="AF111" s="317">
        <f t="shared" si="220"/>
        <v>12.041481481481481</v>
      </c>
      <c r="AG111" s="463">
        <f t="shared" si="221"/>
        <v>2.3021828103683497E-2</v>
      </c>
      <c r="AI111" s="153">
        <f t="shared" si="222"/>
        <v>2.7822567065158423E-2</v>
      </c>
      <c r="AJ111" s="153">
        <f t="shared" si="223"/>
        <v>0.15</v>
      </c>
      <c r="AK111" s="153">
        <f t="shared" si="224"/>
        <v>1.0068808465608465</v>
      </c>
      <c r="AM111" s="317">
        <f t="shared" si="225"/>
        <v>1</v>
      </c>
      <c r="AN111" s="147">
        <f t="shared" si="226"/>
        <v>12.041481481481481</v>
      </c>
      <c r="AP111" s="147">
        <f t="shared" si="227"/>
        <v>1</v>
      </c>
      <c r="AQ111" s="147">
        <f t="shared" si="228"/>
        <v>12.041481481481481</v>
      </c>
      <c r="AS111" s="5">
        <f t="shared" si="175"/>
        <v>83.046259842519689</v>
      </c>
      <c r="AT111" s="5">
        <f t="shared" si="229"/>
        <v>2.5</v>
      </c>
      <c r="AU111" s="5">
        <f t="shared" si="230"/>
        <v>80.546259842519689</v>
      </c>
      <c r="AV111" s="5"/>
      <c r="AW111" s="153">
        <f t="shared" si="231"/>
        <v>3.0103703703703702E-2</v>
      </c>
      <c r="AX111" s="153">
        <f t="shared" si="150"/>
        <v>2.0319999999999994E-2</v>
      </c>
      <c r="AY111" s="153">
        <f t="shared" si="151"/>
        <v>7.2742222222222222E-2</v>
      </c>
      <c r="AZ111" s="153">
        <f t="shared" si="178"/>
        <v>0.27934257958086384</v>
      </c>
      <c r="BA111" s="147">
        <f t="shared" si="232"/>
        <v>7.5578700647486725</v>
      </c>
      <c r="BB111" s="147">
        <f t="shared" si="233"/>
        <v>8.7040037037037013E-3</v>
      </c>
      <c r="BC111" s="5">
        <f t="shared" si="234"/>
        <v>0.19887965393214738</v>
      </c>
      <c r="BD111" s="147">
        <f t="shared" si="235"/>
        <v>19.895372800622148</v>
      </c>
      <c r="BF111" s="153">
        <f t="shared" si="179"/>
        <v>1.5025903559446193E-2</v>
      </c>
      <c r="BG111" s="153">
        <f t="shared" si="156"/>
        <v>8.5289051010210101E-2</v>
      </c>
      <c r="BI111" s="463">
        <f t="shared" si="236"/>
        <v>7.9022222222222208E-5</v>
      </c>
      <c r="BJ111" s="463">
        <f t="shared" si="237"/>
        <v>2.6479217777777776E-4</v>
      </c>
      <c r="BK111" s="463">
        <f t="shared" si="238"/>
        <v>1.5051851851851853E-4</v>
      </c>
      <c r="BL111" s="463">
        <f t="shared" si="239"/>
        <v>5.1758044349629645E-4</v>
      </c>
      <c r="BM111">
        <f t="shared" si="240"/>
        <v>2.6099999999999999E-3</v>
      </c>
      <c r="BN111">
        <f t="shared" si="241"/>
        <v>1.2041481481481483E-7</v>
      </c>
      <c r="BO111" s="463">
        <f t="shared" si="242"/>
        <v>3.632754740940651E-3</v>
      </c>
      <c r="BP111" s="147">
        <f t="shared" si="243"/>
        <v>3.6219133620148147</v>
      </c>
      <c r="BQ111" s="463">
        <f t="shared" si="244"/>
        <v>5.9395057777777774E-3</v>
      </c>
      <c r="BT111" s="147">
        <f t="shared" si="245"/>
        <v>5.9395057777777778</v>
      </c>
      <c r="BU111" s="463">
        <f t="shared" si="246"/>
        <v>1.8062222222222222E-4</v>
      </c>
      <c r="BV111" s="463">
        <f t="shared" si="247"/>
        <v>5.7902808888888879E-3</v>
      </c>
      <c r="BW111" s="463">
        <f t="shared" si="248"/>
        <v>0</v>
      </c>
      <c r="BX111" s="463"/>
      <c r="BY111" s="463">
        <f t="shared" si="249"/>
        <v>4.0640000000000001E-4</v>
      </c>
      <c r="BZ111" s="147">
        <f t="shared" si="250"/>
        <v>6.3773031111111109</v>
      </c>
      <c r="CA111" s="153">
        <f t="shared" si="251"/>
        <v>1.5938722250903703E-2</v>
      </c>
      <c r="CB111" s="5">
        <f t="shared" si="252"/>
        <v>0.02</v>
      </c>
      <c r="CC111" s="153">
        <f t="shared" si="253"/>
        <v>0.55650281221383946</v>
      </c>
      <c r="CD111" s="5">
        <f t="shared" si="254"/>
        <v>55.650281221383949</v>
      </c>
      <c r="CG111" s="59">
        <f t="shared" si="255"/>
        <v>-50</v>
      </c>
      <c r="CH111">
        <f t="shared" si="256"/>
        <v>-50</v>
      </c>
    </row>
    <row r="112" spans="5:86" x14ac:dyDescent="0.25">
      <c r="E112" s="150">
        <v>2</v>
      </c>
      <c r="F112" s="191">
        <f t="shared" si="257"/>
        <v>2E-3</v>
      </c>
      <c r="G112" s="191"/>
      <c r="H112" s="191">
        <f t="shared" si="201"/>
        <v>0.04</v>
      </c>
      <c r="I112" s="472">
        <f t="shared" si="202"/>
        <v>9</v>
      </c>
      <c r="J112" s="386">
        <f t="shared" si="203"/>
        <v>20.32</v>
      </c>
      <c r="K112" s="386">
        <f t="shared" si="204"/>
        <v>29.32</v>
      </c>
      <c r="L112" s="386"/>
      <c r="M112" s="191">
        <f t="shared" si="205"/>
        <v>0.69304229195088674</v>
      </c>
      <c r="N112" s="152">
        <f t="shared" si="206"/>
        <v>2.1101682401091408</v>
      </c>
      <c r="O112" s="152">
        <f t="shared" si="173"/>
        <v>0.04</v>
      </c>
      <c r="P112" s="191">
        <f t="shared" si="207"/>
        <v>0.10550841200545705</v>
      </c>
      <c r="Q112" s="191">
        <f t="shared" si="208"/>
        <v>20</v>
      </c>
      <c r="R112" s="191"/>
      <c r="S112" s="152">
        <f t="shared" si="209"/>
        <v>1509.7519071939464</v>
      </c>
      <c r="T112" s="152">
        <f t="shared" si="210"/>
        <v>20</v>
      </c>
      <c r="U112" s="191">
        <f t="shared" si="211"/>
        <v>1.4250996403227375E-2</v>
      </c>
      <c r="V112" s="191">
        <f t="shared" si="212"/>
        <v>0.23751660672045621</v>
      </c>
      <c r="W112" s="191">
        <f t="shared" si="213"/>
        <v>0.10519928447264301</v>
      </c>
      <c r="X112" s="175">
        <f t="shared" si="214"/>
        <v>277.21691678035478</v>
      </c>
      <c r="Y112" s="386">
        <f t="shared" si="215"/>
        <v>350</v>
      </c>
      <c r="AA112" s="191">
        <f t="shared" si="216"/>
        <v>0.14999999999999997</v>
      </c>
      <c r="AB112" s="153">
        <f t="shared" si="217"/>
        <v>1.1072834645669287</v>
      </c>
      <c r="AC112" s="153">
        <f t="shared" si="218"/>
        <v>2.3021828103683487E-2</v>
      </c>
      <c r="AD112" s="153"/>
      <c r="AE112" s="153">
        <f t="shared" si="219"/>
        <v>1.1072834645669289</v>
      </c>
      <c r="AF112" s="317">
        <f t="shared" si="220"/>
        <v>24.082962962962963</v>
      </c>
      <c r="AG112" s="463">
        <f t="shared" si="221"/>
        <v>2.3021828103683497E-2</v>
      </c>
      <c r="AI112" s="153">
        <f t="shared" si="222"/>
        <v>3.9347051683582039E-2</v>
      </c>
      <c r="AJ112" s="153">
        <f t="shared" si="223"/>
        <v>0.15</v>
      </c>
      <c r="AK112" s="153">
        <f t="shared" si="224"/>
        <v>1.0137616931216931</v>
      </c>
      <c r="AM112" s="317">
        <f t="shared" si="225"/>
        <v>2</v>
      </c>
      <c r="AN112" s="147">
        <f t="shared" si="226"/>
        <v>24.082962962962963</v>
      </c>
      <c r="AP112" s="147">
        <f t="shared" si="227"/>
        <v>2</v>
      </c>
      <c r="AQ112" s="147">
        <f t="shared" si="228"/>
        <v>24.082962962962963</v>
      </c>
      <c r="AS112" s="5">
        <f t="shared" si="175"/>
        <v>41.523129921259844</v>
      </c>
      <c r="AT112" s="5">
        <f t="shared" si="229"/>
        <v>2.5</v>
      </c>
      <c r="AU112" s="5">
        <f t="shared" si="230"/>
        <v>39.023129921259844</v>
      </c>
      <c r="AV112" s="5"/>
      <c r="AW112" s="153">
        <f t="shared" si="231"/>
        <v>6.0207407407407404E-2</v>
      </c>
      <c r="AX112" s="153">
        <f t="shared" si="150"/>
        <v>4.0639999999999989E-2</v>
      </c>
      <c r="AY112" s="153">
        <f t="shared" si="151"/>
        <v>7.0484444444444447E-2</v>
      </c>
      <c r="AZ112" s="153">
        <f t="shared" si="178"/>
        <v>0.57658112112995752</v>
      </c>
      <c r="BA112" s="147">
        <f t="shared" si="232"/>
        <v>7.5578700647486725</v>
      </c>
      <c r="BB112" s="147">
        <f t="shared" si="233"/>
        <v>2.8816014814814807E-2</v>
      </c>
      <c r="BC112" s="5">
        <f t="shared" si="234"/>
        <v>0.19270681442597454</v>
      </c>
      <c r="BD112" s="147">
        <f t="shared" si="235"/>
        <v>19.285496257412269</v>
      </c>
      <c r="BF112" s="153">
        <f t="shared" si="179"/>
        <v>2.1249836600678966E-2</v>
      </c>
      <c r="BG112" s="153">
        <f t="shared" si="156"/>
        <v>8.3955014409172982E-2</v>
      </c>
      <c r="BI112" s="463">
        <f t="shared" si="236"/>
        <v>1.5804444444444439E-4</v>
      </c>
      <c r="BJ112" s="463">
        <f t="shared" si="237"/>
        <v>5.2958435555555553E-4</v>
      </c>
      <c r="BK112" s="463">
        <f t="shared" si="238"/>
        <v>3.0103703703703705E-4</v>
      </c>
      <c r="BL112" s="463">
        <f t="shared" si="239"/>
        <v>1.0351608869925929E-3</v>
      </c>
      <c r="BM112">
        <f t="shared" si="240"/>
        <v>2.6099999999999999E-3</v>
      </c>
      <c r="BN112">
        <f t="shared" si="241"/>
        <v>2.4082962962962966E-7</v>
      </c>
      <c r="BO112" s="463">
        <f t="shared" si="242"/>
        <v>4.6555393054609762E-3</v>
      </c>
      <c r="BP112" s="147">
        <f t="shared" si="243"/>
        <v>4.63382672402963</v>
      </c>
      <c r="BQ112" s="463">
        <f t="shared" si="244"/>
        <v>6.1490115555555549E-3</v>
      </c>
      <c r="BT112" s="147">
        <f t="shared" si="245"/>
        <v>6.1490115555555551</v>
      </c>
      <c r="BU112" s="463">
        <f t="shared" si="246"/>
        <v>3.6124444444444434E-4</v>
      </c>
      <c r="BV112" s="463">
        <f t="shared" si="247"/>
        <v>5.6105617777777771E-3</v>
      </c>
      <c r="BW112" s="463">
        <f t="shared" si="248"/>
        <v>0</v>
      </c>
      <c r="BX112" s="463"/>
      <c r="BY112" s="463">
        <f t="shared" si="249"/>
        <v>8.1280000000000002E-4</v>
      </c>
      <c r="BZ112" s="147">
        <f t="shared" si="250"/>
        <v>6.7846062222222212</v>
      </c>
      <c r="CA112" s="153">
        <f t="shared" si="251"/>
        <v>1.7567444501807406E-2</v>
      </c>
      <c r="CB112" s="5">
        <f t="shared" si="252"/>
        <v>0.04</v>
      </c>
      <c r="CC112" s="153">
        <f t="shared" si="253"/>
        <v>0.6948371661476852</v>
      </c>
      <c r="CD112" s="5">
        <f t="shared" si="254"/>
        <v>69.483716614768525</v>
      </c>
      <c r="CG112" s="59">
        <f t="shared" si="255"/>
        <v>-50</v>
      </c>
      <c r="CH112">
        <f t="shared" si="256"/>
        <v>-50</v>
      </c>
    </row>
    <row r="113" spans="5:86" x14ac:dyDescent="0.25">
      <c r="E113" s="150">
        <v>3</v>
      </c>
      <c r="F113" s="191">
        <f t="shared" si="257"/>
        <v>3.0000000000000001E-3</v>
      </c>
      <c r="G113" s="191"/>
      <c r="H113" s="191">
        <f t="shared" si="201"/>
        <v>0.06</v>
      </c>
      <c r="I113" s="472">
        <f t="shared" si="202"/>
        <v>9</v>
      </c>
      <c r="J113" s="386">
        <f t="shared" si="203"/>
        <v>20.32</v>
      </c>
      <c r="K113" s="386">
        <f t="shared" si="204"/>
        <v>29.32</v>
      </c>
      <c r="L113" s="386"/>
      <c r="M113" s="191">
        <f t="shared" si="205"/>
        <v>0.69304229195088674</v>
      </c>
      <c r="N113" s="152">
        <f t="shared" si="206"/>
        <v>2.1101682401091408</v>
      </c>
      <c r="O113" s="152">
        <f t="shared" si="173"/>
        <v>0.06</v>
      </c>
      <c r="P113" s="191">
        <f t="shared" si="207"/>
        <v>0.10550841200545705</v>
      </c>
      <c r="Q113" s="191">
        <f t="shared" si="208"/>
        <v>20</v>
      </c>
      <c r="R113" s="191"/>
      <c r="S113" s="152">
        <f t="shared" si="209"/>
        <v>1003.5028690320663</v>
      </c>
      <c r="T113" s="152">
        <f t="shared" si="210"/>
        <v>20</v>
      </c>
      <c r="U113" s="191">
        <f t="shared" si="211"/>
        <v>2.1376494604841062E-2</v>
      </c>
      <c r="V113" s="191">
        <f t="shared" si="212"/>
        <v>0.35627491008068435</v>
      </c>
      <c r="W113" s="191">
        <f t="shared" si="213"/>
        <v>0.15779892670896453</v>
      </c>
      <c r="X113" s="175">
        <f t="shared" si="214"/>
        <v>277.21691678035478</v>
      </c>
      <c r="Y113" s="386">
        <f t="shared" si="215"/>
        <v>350</v>
      </c>
      <c r="AA113" s="191">
        <f t="shared" si="216"/>
        <v>0.14999999999999997</v>
      </c>
      <c r="AB113" s="153">
        <f t="shared" si="217"/>
        <v>1.1072834645669287</v>
      </c>
      <c r="AC113" s="153">
        <f t="shared" si="218"/>
        <v>2.3021828103683487E-2</v>
      </c>
      <c r="AD113" s="153"/>
      <c r="AE113" s="153">
        <f t="shared" si="219"/>
        <v>1.1072834645669289</v>
      </c>
      <c r="AF113" s="317">
        <f t="shared" si="220"/>
        <v>36.124444444444443</v>
      </c>
      <c r="AG113" s="463">
        <f t="shared" si="221"/>
        <v>2.3021828103683497E-2</v>
      </c>
      <c r="AI113" s="153">
        <f t="shared" si="222"/>
        <v>4.8190099753846895E-2</v>
      </c>
      <c r="AJ113" s="153">
        <f t="shared" si="223"/>
        <v>0.15</v>
      </c>
      <c r="AK113" s="153">
        <f t="shared" si="224"/>
        <v>1.0206425396825396</v>
      </c>
      <c r="AM113" s="317">
        <f t="shared" si="225"/>
        <v>3</v>
      </c>
      <c r="AN113" s="147">
        <f t="shared" si="226"/>
        <v>36.124444444444443</v>
      </c>
      <c r="AP113" s="147">
        <f t="shared" si="227"/>
        <v>3</v>
      </c>
      <c r="AQ113" s="147">
        <f t="shared" si="228"/>
        <v>36.124444444444443</v>
      </c>
      <c r="AS113" s="5">
        <f t="shared" si="175"/>
        <v>27.68208661417323</v>
      </c>
      <c r="AT113" s="5">
        <f t="shared" si="229"/>
        <v>2.5</v>
      </c>
      <c r="AU113" s="5">
        <f t="shared" si="230"/>
        <v>25.18208661417323</v>
      </c>
      <c r="AV113" s="5"/>
      <c r="AW113" s="153">
        <f t="shared" si="231"/>
        <v>9.0311111111111106E-2</v>
      </c>
      <c r="AX113" s="153">
        <f t="shared" si="150"/>
        <v>6.0959999999999986E-2</v>
      </c>
      <c r="AY113" s="153">
        <f t="shared" si="151"/>
        <v>6.8226666666666658E-2</v>
      </c>
      <c r="AZ113" s="153">
        <f t="shared" si="178"/>
        <v>0.89349228063318342</v>
      </c>
      <c r="BA113" s="147">
        <f t="shared" si="232"/>
        <v>7.5578700647486725</v>
      </c>
      <c r="BB113" s="147">
        <f t="shared" si="233"/>
        <v>6.0336033333333323E-2</v>
      </c>
      <c r="BC113" s="5">
        <f t="shared" si="234"/>
        <v>0.1865339749198017</v>
      </c>
      <c r="BD113" s="147">
        <f t="shared" si="235"/>
        <v>18.675619714202394</v>
      </c>
      <c r="BF113" s="153">
        <f t="shared" si="179"/>
        <v>2.6025628394590845E-2</v>
      </c>
      <c r="BG113" s="153">
        <f t="shared" si="156"/>
        <v>8.2599435026316406E-2</v>
      </c>
      <c r="BI113" s="463">
        <f t="shared" si="236"/>
        <v>2.3706666666666664E-4</v>
      </c>
      <c r="BJ113" s="463">
        <f t="shared" si="237"/>
        <v>7.943765333333334E-4</v>
      </c>
      <c r="BK113" s="463">
        <f t="shared" si="238"/>
        <v>4.5155555555555547E-4</v>
      </c>
      <c r="BL113" s="463">
        <f t="shared" si="239"/>
        <v>1.5527413304888889E-3</v>
      </c>
      <c r="BM113">
        <f t="shared" si="240"/>
        <v>2.6099999999999999E-3</v>
      </c>
      <c r="BN113">
        <f t="shared" si="241"/>
        <v>3.6124444444444443E-7</v>
      </c>
      <c r="BO113" s="463">
        <f t="shared" si="242"/>
        <v>5.6783536948654791E-3</v>
      </c>
      <c r="BP113" s="147">
        <f t="shared" si="243"/>
        <v>5.6457400860444436</v>
      </c>
      <c r="BQ113" s="463">
        <f t="shared" si="244"/>
        <v>6.3585173333333333E-3</v>
      </c>
      <c r="BT113" s="147">
        <f t="shared" si="245"/>
        <v>6.3585173333333334</v>
      </c>
      <c r="BU113" s="463">
        <f t="shared" si="246"/>
        <v>5.4186666666666665E-4</v>
      </c>
      <c r="BV113" s="463">
        <f t="shared" si="247"/>
        <v>5.4308426666666654E-3</v>
      </c>
      <c r="BW113" s="463">
        <f t="shared" si="248"/>
        <v>0</v>
      </c>
      <c r="BX113" s="463"/>
      <c r="BY113" s="463">
        <f t="shared" si="249"/>
        <v>1.2191999999999999E-3</v>
      </c>
      <c r="BZ113" s="147">
        <f t="shared" si="250"/>
        <v>7.1919093333333324</v>
      </c>
      <c r="CA113" s="153">
        <f t="shared" si="251"/>
        <v>1.9196166752711109E-2</v>
      </c>
      <c r="CB113" s="5">
        <f t="shared" si="252"/>
        <v>0.06</v>
      </c>
      <c r="CC113" s="153">
        <f t="shared" si="253"/>
        <v>0.75761242570425336</v>
      </c>
      <c r="CD113" s="5">
        <f t="shared" si="254"/>
        <v>75.761242570425338</v>
      </c>
      <c r="CG113" s="59">
        <f t="shared" si="255"/>
        <v>-50</v>
      </c>
      <c r="CH113">
        <f t="shared" si="256"/>
        <v>-50</v>
      </c>
    </row>
    <row r="114" spans="5:86" x14ac:dyDescent="0.25">
      <c r="E114" s="150">
        <v>4</v>
      </c>
      <c r="F114" s="191">
        <f t="shared" si="257"/>
        <v>4.0000000000000001E-3</v>
      </c>
      <c r="G114" s="191"/>
      <c r="H114" s="191">
        <f t="shared" si="201"/>
        <v>0.08</v>
      </c>
      <c r="I114" s="472">
        <f t="shared" si="202"/>
        <v>9</v>
      </c>
      <c r="J114" s="386">
        <f t="shared" si="203"/>
        <v>20.32</v>
      </c>
      <c r="K114" s="386">
        <f t="shared" si="204"/>
        <v>29.32</v>
      </c>
      <c r="L114" s="386"/>
      <c r="M114" s="191">
        <f t="shared" si="205"/>
        <v>0.69304229195088674</v>
      </c>
      <c r="N114" s="152">
        <f t="shared" si="206"/>
        <v>2.1101682401091408</v>
      </c>
      <c r="O114" s="152">
        <f t="shared" si="173"/>
        <v>0.08</v>
      </c>
      <c r="P114" s="191">
        <f t="shared" si="207"/>
        <v>0.10550841200545705</v>
      </c>
      <c r="Q114" s="191">
        <f t="shared" si="208"/>
        <v>20</v>
      </c>
      <c r="R114" s="191"/>
      <c r="S114" s="152">
        <f t="shared" si="209"/>
        <v>750.37883642528834</v>
      </c>
      <c r="T114" s="152">
        <f t="shared" si="210"/>
        <v>20</v>
      </c>
      <c r="U114" s="191">
        <f t="shared" si="211"/>
        <v>2.8501992806454751E-2</v>
      </c>
      <c r="V114" s="191">
        <f t="shared" si="212"/>
        <v>0.47503321344091243</v>
      </c>
      <c r="W114" s="191">
        <f t="shared" si="213"/>
        <v>0.21039856894528602</v>
      </c>
      <c r="X114" s="175">
        <f t="shared" si="214"/>
        <v>277.21691678035478</v>
      </c>
      <c r="Y114" s="386">
        <f t="shared" si="215"/>
        <v>350</v>
      </c>
      <c r="AA114" s="191">
        <f t="shared" si="216"/>
        <v>0.14999999999999997</v>
      </c>
      <c r="AB114" s="153">
        <f t="shared" si="217"/>
        <v>1.1072834645669287</v>
      </c>
      <c r="AC114" s="153">
        <f t="shared" si="218"/>
        <v>2.3021828103683487E-2</v>
      </c>
      <c r="AD114" s="153"/>
      <c r="AE114" s="153">
        <f t="shared" si="219"/>
        <v>1.1072834645669289</v>
      </c>
      <c r="AF114" s="317">
        <f t="shared" si="220"/>
        <v>48.165925925925926</v>
      </c>
      <c r="AG114" s="463">
        <f t="shared" si="221"/>
        <v>2.3021828103683497E-2</v>
      </c>
      <c r="AI114" s="153">
        <f t="shared" si="222"/>
        <v>5.5645134130316846E-2</v>
      </c>
      <c r="AJ114" s="153">
        <f t="shared" si="223"/>
        <v>0.15</v>
      </c>
      <c r="AK114" s="153">
        <f t="shared" si="224"/>
        <v>1.0275233862433863</v>
      </c>
      <c r="AM114" s="317">
        <f t="shared" si="225"/>
        <v>4</v>
      </c>
      <c r="AN114" s="147">
        <f t="shared" si="226"/>
        <v>48.165925925925926</v>
      </c>
      <c r="AP114" s="147">
        <f t="shared" si="227"/>
        <v>4</v>
      </c>
      <c r="AQ114" s="147">
        <f t="shared" si="228"/>
        <v>48.165925925925926</v>
      </c>
      <c r="AS114" s="5">
        <f t="shared" si="175"/>
        <v>20.761564960629922</v>
      </c>
      <c r="AT114" s="5">
        <f t="shared" si="229"/>
        <v>2.5</v>
      </c>
      <c r="AU114" s="5">
        <f t="shared" si="230"/>
        <v>18.261564960629922</v>
      </c>
      <c r="AV114" s="5"/>
      <c r="AW114" s="153">
        <f t="shared" si="231"/>
        <v>0.12041481481481481</v>
      </c>
      <c r="AX114" s="153">
        <f t="shared" si="150"/>
        <v>8.1279999999999977E-2</v>
      </c>
      <c r="AY114" s="153">
        <f t="shared" si="151"/>
        <v>6.5968888888888896E-2</v>
      </c>
      <c r="AZ114" s="153">
        <f t="shared" si="178"/>
        <v>1.2320959374789457</v>
      </c>
      <c r="BA114" s="147">
        <f t="shared" si="232"/>
        <v>7.5578700647486725</v>
      </c>
      <c r="BB114" s="147">
        <f t="shared" si="233"/>
        <v>0.10326405925925922</v>
      </c>
      <c r="BC114" s="5">
        <f t="shared" si="234"/>
        <v>0.18036113541362886</v>
      </c>
      <c r="BD114" s="147">
        <f t="shared" si="235"/>
        <v>18.065743170992516</v>
      </c>
      <c r="BF114" s="153">
        <f t="shared" si="179"/>
        <v>3.0051807118892385E-2</v>
      </c>
      <c r="BG114" s="153">
        <f t="shared" si="156"/>
        <v>8.1221234224117089E-2</v>
      </c>
      <c r="BI114" s="463">
        <f t="shared" si="236"/>
        <v>3.1608888888888883E-4</v>
      </c>
      <c r="BJ114" s="463">
        <f t="shared" si="237"/>
        <v>1.0591687111111111E-3</v>
      </c>
      <c r="BK114" s="463">
        <f t="shared" si="238"/>
        <v>6.020740740740741E-4</v>
      </c>
      <c r="BL114" s="463">
        <f t="shared" si="239"/>
        <v>2.0703217739851858E-3</v>
      </c>
      <c r="BM114">
        <f t="shared" si="240"/>
        <v>2.6099999999999999E-3</v>
      </c>
      <c r="BN114">
        <f t="shared" si="241"/>
        <v>4.8165925925925931E-7</v>
      </c>
      <c r="BO114" s="463">
        <f t="shared" si="242"/>
        <v>6.7011979104587404E-3</v>
      </c>
      <c r="BP114" s="147">
        <f t="shared" si="243"/>
        <v>6.6576534480592597</v>
      </c>
      <c r="BQ114" s="463">
        <f t="shared" si="244"/>
        <v>6.5680231111111117E-3</v>
      </c>
      <c r="BT114" s="147">
        <f t="shared" si="245"/>
        <v>6.5680231111111116</v>
      </c>
      <c r="BU114" s="463">
        <f t="shared" si="246"/>
        <v>7.224888888888889E-4</v>
      </c>
      <c r="BV114" s="463">
        <f t="shared" si="247"/>
        <v>5.2511235555555563E-3</v>
      </c>
      <c r="BW114" s="463">
        <f t="shared" si="248"/>
        <v>0</v>
      </c>
      <c r="BX114" s="463"/>
      <c r="BY114" s="463">
        <f t="shared" si="249"/>
        <v>1.6256E-3</v>
      </c>
      <c r="BZ114" s="147">
        <f t="shared" si="250"/>
        <v>7.5992124444444462</v>
      </c>
      <c r="CA114" s="153">
        <f t="shared" si="251"/>
        <v>2.0824889003614819E-2</v>
      </c>
      <c r="CB114" s="5">
        <f t="shared" si="252"/>
        <v>0.08</v>
      </c>
      <c r="CC114" s="153">
        <f t="shared" si="253"/>
        <v>0.7934548779630376</v>
      </c>
      <c r="CD114" s="5">
        <f t="shared" si="254"/>
        <v>79.345487796303757</v>
      </c>
      <c r="CG114" s="59">
        <f t="shared" si="255"/>
        <v>-50</v>
      </c>
      <c r="CH114">
        <f t="shared" si="256"/>
        <v>-50</v>
      </c>
    </row>
    <row r="115" spans="5:86" x14ac:dyDescent="0.25">
      <c r="E115" s="150">
        <v>5</v>
      </c>
      <c r="F115" s="191">
        <f t="shared" si="257"/>
        <v>5.000000000000001E-3</v>
      </c>
      <c r="G115" s="191"/>
      <c r="H115" s="191">
        <f t="shared" si="201"/>
        <v>0.10000000000000002</v>
      </c>
      <c r="I115" s="472">
        <f t="shared" si="202"/>
        <v>9</v>
      </c>
      <c r="J115" s="386">
        <f t="shared" si="203"/>
        <v>20.32</v>
      </c>
      <c r="K115" s="386">
        <f t="shared" si="204"/>
        <v>29.32</v>
      </c>
      <c r="L115" s="386"/>
      <c r="M115" s="191">
        <f t="shared" si="205"/>
        <v>0.69304229195088674</v>
      </c>
      <c r="N115" s="152">
        <f t="shared" si="206"/>
        <v>2.1101682401091408</v>
      </c>
      <c r="O115" s="152">
        <f t="shared" si="173"/>
        <v>0.10000000000000002</v>
      </c>
      <c r="P115" s="191">
        <f t="shared" si="207"/>
        <v>0.10550841200545705</v>
      </c>
      <c r="Q115" s="191">
        <f t="shared" si="208"/>
        <v>20</v>
      </c>
      <c r="R115" s="191"/>
      <c r="S115" s="152">
        <f t="shared" si="209"/>
        <v>598.504809419975</v>
      </c>
      <c r="T115" s="152">
        <f t="shared" si="210"/>
        <v>20</v>
      </c>
      <c r="U115" s="191">
        <f t="shared" si="211"/>
        <v>3.5627491008068446E-2</v>
      </c>
      <c r="V115" s="191">
        <f t="shared" si="212"/>
        <v>0.59379151680114062</v>
      </c>
      <c r="W115" s="191">
        <f t="shared" si="213"/>
        <v>0.2629982111816076</v>
      </c>
      <c r="X115" s="175">
        <f t="shared" si="214"/>
        <v>277.21691678035478</v>
      </c>
      <c r="Y115" s="386">
        <f t="shared" si="215"/>
        <v>350</v>
      </c>
      <c r="AA115" s="191">
        <f t="shared" si="216"/>
        <v>0.14999999999999997</v>
      </c>
      <c r="AB115" s="153">
        <f t="shared" si="217"/>
        <v>1.1072834645669287</v>
      </c>
      <c r="AC115" s="153">
        <f t="shared" si="218"/>
        <v>2.3021828103683487E-2</v>
      </c>
      <c r="AD115" s="153"/>
      <c r="AE115" s="153">
        <f t="shared" si="219"/>
        <v>1.1072834645669289</v>
      </c>
      <c r="AF115" s="317">
        <f t="shared" si="220"/>
        <v>60.207407407407423</v>
      </c>
      <c r="AG115" s="463">
        <f t="shared" si="221"/>
        <v>2.3021828103683497E-2</v>
      </c>
      <c r="AI115" s="153">
        <f t="shared" si="222"/>
        <v>6.2213151266241065E-2</v>
      </c>
      <c r="AJ115" s="153">
        <f t="shared" si="223"/>
        <v>0.15</v>
      </c>
      <c r="AK115" s="153">
        <f t="shared" si="224"/>
        <v>1.0344042328042329</v>
      </c>
      <c r="AM115" s="317">
        <f t="shared" si="225"/>
        <v>5.0000000000000009</v>
      </c>
      <c r="AN115" s="147">
        <f t="shared" si="226"/>
        <v>60.207407407407423</v>
      </c>
      <c r="AP115" s="147">
        <f t="shared" si="227"/>
        <v>5.0000000000000009</v>
      </c>
      <c r="AQ115" s="147">
        <f t="shared" si="228"/>
        <v>60.207407407407423</v>
      </c>
      <c r="AS115" s="5">
        <f t="shared" si="175"/>
        <v>16.609251968503933</v>
      </c>
      <c r="AT115" s="5">
        <f t="shared" si="229"/>
        <v>2.5</v>
      </c>
      <c r="AU115" s="5">
        <f t="shared" si="230"/>
        <v>14.109251968503933</v>
      </c>
      <c r="AV115" s="5"/>
      <c r="AW115" s="153">
        <f t="shared" si="231"/>
        <v>0.15051851851851855</v>
      </c>
      <c r="AX115" s="153">
        <f t="shared" si="150"/>
        <v>0.10160000000000001</v>
      </c>
      <c r="AY115" s="153">
        <f t="shared" si="151"/>
        <v>6.3711111111111107E-2</v>
      </c>
      <c r="AZ115" s="153">
        <f t="shared" si="178"/>
        <v>1.5946982908964076</v>
      </c>
      <c r="BA115" s="147">
        <f t="shared" si="232"/>
        <v>7.5578700647486725</v>
      </c>
      <c r="BB115" s="147">
        <f t="shared" si="233"/>
        <v>0.15760009259259264</v>
      </c>
      <c r="BC115" s="5">
        <f t="shared" si="234"/>
        <v>0.17418829590745602</v>
      </c>
      <c r="BD115" s="147">
        <f t="shared" si="235"/>
        <v>17.45586662778264</v>
      </c>
      <c r="BF115" s="153">
        <f t="shared" si="179"/>
        <v>3.3598941782277743E-2</v>
      </c>
      <c r="BG115" s="153">
        <f t="shared" si="156"/>
        <v>7.9819240231357197E-2</v>
      </c>
      <c r="BI115" s="463">
        <f t="shared" si="236"/>
        <v>3.9511111111111116E-4</v>
      </c>
      <c r="BJ115" s="463">
        <f t="shared" si="237"/>
        <v>1.3239608888888893E-3</v>
      </c>
      <c r="BK115" s="463">
        <f t="shared" si="238"/>
        <v>7.5259259259259279E-4</v>
      </c>
      <c r="BL115" s="463">
        <f t="shared" si="239"/>
        <v>2.5879022174814825E-3</v>
      </c>
      <c r="BM115">
        <f t="shared" si="240"/>
        <v>2.6099999999999999E-3</v>
      </c>
      <c r="BN115">
        <f t="shared" si="241"/>
        <v>6.0207407407407419E-7</v>
      </c>
      <c r="BO115" s="463">
        <f t="shared" si="242"/>
        <v>7.7240719535454196E-3</v>
      </c>
      <c r="BP115" s="147">
        <f t="shared" si="243"/>
        <v>7.669566810074075</v>
      </c>
      <c r="BQ115" s="463">
        <f t="shared" si="244"/>
        <v>6.7775288888888901E-3</v>
      </c>
      <c r="BT115" s="147">
        <f t="shared" si="245"/>
        <v>6.7775288888888898</v>
      </c>
      <c r="BU115" s="463">
        <f t="shared" si="246"/>
        <v>9.0311111111111137E-4</v>
      </c>
      <c r="BV115" s="463">
        <f t="shared" si="247"/>
        <v>5.0714044444444446E-3</v>
      </c>
      <c r="BW115" s="463">
        <f t="shared" si="248"/>
        <v>0</v>
      </c>
      <c r="BX115" s="463"/>
      <c r="BY115" s="463">
        <f t="shared" si="249"/>
        <v>2.0320000000000008E-3</v>
      </c>
      <c r="BZ115" s="147">
        <f t="shared" si="250"/>
        <v>8.0065155555555574</v>
      </c>
      <c r="CA115" s="153">
        <f t="shared" si="251"/>
        <v>2.2453611254518523E-2</v>
      </c>
      <c r="CB115" s="5">
        <f t="shared" si="252"/>
        <v>0.10000000000000002</v>
      </c>
      <c r="CC115" s="153">
        <f t="shared" si="253"/>
        <v>0.81663577721812608</v>
      </c>
      <c r="CD115" s="5">
        <f t="shared" si="254"/>
        <v>81.663577721812601</v>
      </c>
      <c r="CG115" s="59">
        <f t="shared" si="255"/>
        <v>-50</v>
      </c>
      <c r="CH115">
        <f t="shared" si="256"/>
        <v>-50</v>
      </c>
    </row>
    <row r="116" spans="5:86" x14ac:dyDescent="0.25">
      <c r="E116" s="150">
        <v>6</v>
      </c>
      <c r="F116" s="191">
        <f t="shared" si="257"/>
        <v>6.0000000000000001E-3</v>
      </c>
      <c r="G116" s="191"/>
      <c r="H116" s="191">
        <f t="shared" si="201"/>
        <v>0.12</v>
      </c>
      <c r="I116" s="472">
        <f t="shared" si="202"/>
        <v>9</v>
      </c>
      <c r="J116" s="386">
        <f t="shared" si="203"/>
        <v>20.32</v>
      </c>
      <c r="K116" s="386">
        <f t="shared" si="204"/>
        <v>29.32</v>
      </c>
      <c r="L116" s="386"/>
      <c r="M116" s="191">
        <f t="shared" si="205"/>
        <v>0.69304229195088674</v>
      </c>
      <c r="N116" s="152">
        <f t="shared" si="206"/>
        <v>2.1101682401091408</v>
      </c>
      <c r="O116" s="152">
        <f t="shared" si="173"/>
        <v>0.12</v>
      </c>
      <c r="P116" s="191">
        <f t="shared" si="207"/>
        <v>0.10550841200545705</v>
      </c>
      <c r="Q116" s="191">
        <f t="shared" si="208"/>
        <v>20</v>
      </c>
      <c r="R116" s="191"/>
      <c r="S116" s="152">
        <f t="shared" si="209"/>
        <v>497.25578806298279</v>
      </c>
      <c r="T116" s="152">
        <f t="shared" si="210"/>
        <v>20</v>
      </c>
      <c r="U116" s="191">
        <f t="shared" si="211"/>
        <v>4.2752989209682124E-2</v>
      </c>
      <c r="V116" s="191">
        <f t="shared" si="212"/>
        <v>0.7125498201613687</v>
      </c>
      <c r="W116" s="191">
        <f t="shared" si="213"/>
        <v>0.31559785341792906</v>
      </c>
      <c r="X116" s="175">
        <f t="shared" si="214"/>
        <v>277.21691678035478</v>
      </c>
      <c r="Y116" s="386">
        <f t="shared" si="215"/>
        <v>350</v>
      </c>
      <c r="AA116" s="191">
        <f t="shared" si="216"/>
        <v>0.14999999999999997</v>
      </c>
      <c r="AB116" s="153">
        <f t="shared" si="217"/>
        <v>1.1072834645669287</v>
      </c>
      <c r="AC116" s="153">
        <f t="shared" si="218"/>
        <v>2.3021828103683487E-2</v>
      </c>
      <c r="AD116" s="153"/>
      <c r="AE116" s="153">
        <f t="shared" si="219"/>
        <v>1.1072834645669289</v>
      </c>
      <c r="AF116" s="317">
        <f t="shared" si="220"/>
        <v>72.248888888888885</v>
      </c>
      <c r="AG116" s="463">
        <f t="shared" si="221"/>
        <v>2.3021828103683497E-2</v>
      </c>
      <c r="AI116" s="153">
        <f t="shared" si="222"/>
        <v>6.8151092644002625E-2</v>
      </c>
      <c r="AJ116" s="153">
        <f t="shared" si="223"/>
        <v>0.15</v>
      </c>
      <c r="AK116" s="153">
        <f t="shared" si="224"/>
        <v>1.0412850793650794</v>
      </c>
      <c r="AM116" s="317">
        <f t="shared" si="225"/>
        <v>6</v>
      </c>
      <c r="AN116" s="147">
        <f t="shared" si="226"/>
        <v>72.248888888888885</v>
      </c>
      <c r="AP116" s="147">
        <f t="shared" si="227"/>
        <v>6</v>
      </c>
      <c r="AQ116" s="147">
        <f t="shared" si="228"/>
        <v>72.248888888888885</v>
      </c>
      <c r="AS116" s="5">
        <f t="shared" si="175"/>
        <v>13.841043307086615</v>
      </c>
      <c r="AT116" s="5">
        <f t="shared" si="229"/>
        <v>2.5</v>
      </c>
      <c r="AU116" s="5">
        <f t="shared" si="230"/>
        <v>11.341043307086615</v>
      </c>
      <c r="AV116" s="5"/>
      <c r="AW116" s="153">
        <f t="shared" si="231"/>
        <v>0.18062222222222221</v>
      </c>
      <c r="AX116" s="153">
        <f t="shared" si="150"/>
        <v>0.12191999999999997</v>
      </c>
      <c r="AY116" s="153">
        <f t="shared" si="151"/>
        <v>6.1453333333333332E-2</v>
      </c>
      <c r="AZ116" s="153">
        <f t="shared" si="178"/>
        <v>1.9839444564981554</v>
      </c>
      <c r="BA116" s="147">
        <f t="shared" si="232"/>
        <v>7.5578700647486725</v>
      </c>
      <c r="BB116" s="147">
        <f t="shared" si="233"/>
        <v>0.22334413333333331</v>
      </c>
      <c r="BC116" s="5">
        <f t="shared" si="234"/>
        <v>0.16801545640128318</v>
      </c>
      <c r="BD116" s="147">
        <f t="shared" si="235"/>
        <v>16.845990084572765</v>
      </c>
      <c r="BF116" s="153">
        <f t="shared" si="179"/>
        <v>3.6805796644912694E-2</v>
      </c>
      <c r="BG116" s="153">
        <f t="shared" si="156"/>
        <v>7.8392176480394607E-2</v>
      </c>
      <c r="BI116" s="463">
        <f t="shared" si="236"/>
        <v>4.7413333333333328E-4</v>
      </c>
      <c r="BJ116" s="463">
        <f t="shared" si="237"/>
        <v>1.5887530666666668E-3</v>
      </c>
      <c r="BK116" s="463">
        <f t="shared" si="238"/>
        <v>9.0311111111111093E-4</v>
      </c>
      <c r="BL116" s="463">
        <f t="shared" si="239"/>
        <v>3.1054826609777778E-3</v>
      </c>
      <c r="BM116">
        <f t="shared" si="240"/>
        <v>2.6099999999999999E-3</v>
      </c>
      <c r="BN116">
        <f t="shared" si="241"/>
        <v>7.2248888888888886E-7</v>
      </c>
      <c r="BO116" s="463">
        <f t="shared" si="242"/>
        <v>8.7469758254302456E-3</v>
      </c>
      <c r="BP116" s="147">
        <f t="shared" si="243"/>
        <v>8.6814801720888877</v>
      </c>
      <c r="BQ116" s="463">
        <f t="shared" si="244"/>
        <v>6.9870346666666677E-3</v>
      </c>
      <c r="BT116" s="147">
        <f t="shared" si="245"/>
        <v>6.9870346666666681</v>
      </c>
      <c r="BU116" s="463">
        <f t="shared" si="246"/>
        <v>1.0837333333333333E-3</v>
      </c>
      <c r="BV116" s="463">
        <f t="shared" si="247"/>
        <v>4.8916853333333338E-3</v>
      </c>
      <c r="BW116" s="463">
        <f t="shared" si="248"/>
        <v>0</v>
      </c>
      <c r="BX116" s="463"/>
      <c r="BY116" s="463">
        <f t="shared" si="249"/>
        <v>2.4383999999999999E-3</v>
      </c>
      <c r="BZ116" s="147">
        <f t="shared" si="250"/>
        <v>8.4138186666666659</v>
      </c>
      <c r="CA116" s="153">
        <f t="shared" si="251"/>
        <v>2.4082333505422222E-2</v>
      </c>
      <c r="CB116" s="5">
        <f t="shared" si="252"/>
        <v>0.12</v>
      </c>
      <c r="CC116" s="153">
        <f t="shared" si="253"/>
        <v>0.83285713855740728</v>
      </c>
      <c r="CD116" s="5">
        <f t="shared" si="254"/>
        <v>83.285713855740724</v>
      </c>
      <c r="CG116" s="59">
        <f t="shared" si="255"/>
        <v>-50</v>
      </c>
      <c r="CH116">
        <f t="shared" si="256"/>
        <v>-50</v>
      </c>
    </row>
    <row r="117" spans="5:86" x14ac:dyDescent="0.25">
      <c r="E117" s="150">
        <v>7</v>
      </c>
      <c r="F117" s="191">
        <f t="shared" si="257"/>
        <v>7.000000000000001E-3</v>
      </c>
      <c r="G117" s="191"/>
      <c r="H117" s="191">
        <f t="shared" si="201"/>
        <v>0.14000000000000001</v>
      </c>
      <c r="I117" s="472">
        <f t="shared" si="202"/>
        <v>9</v>
      </c>
      <c r="J117" s="386">
        <f t="shared" si="203"/>
        <v>20.32</v>
      </c>
      <c r="K117" s="386">
        <f t="shared" si="204"/>
        <v>29.32</v>
      </c>
      <c r="L117" s="386"/>
      <c r="M117" s="191">
        <f t="shared" si="205"/>
        <v>0.69304229195088674</v>
      </c>
      <c r="N117" s="152">
        <f t="shared" si="206"/>
        <v>2.1101682401091408</v>
      </c>
      <c r="O117" s="152">
        <f t="shared" si="173"/>
        <v>0.14000000000000001</v>
      </c>
      <c r="P117" s="191">
        <f t="shared" si="207"/>
        <v>0.10550841200545705</v>
      </c>
      <c r="Q117" s="191">
        <f t="shared" si="208"/>
        <v>20</v>
      </c>
      <c r="R117" s="191"/>
      <c r="S117" s="152">
        <f t="shared" si="209"/>
        <v>424.93534383023967</v>
      </c>
      <c r="T117" s="152">
        <f t="shared" si="210"/>
        <v>20</v>
      </c>
      <c r="U117" s="191">
        <f t="shared" si="211"/>
        <v>4.9878487411295816E-2</v>
      </c>
      <c r="V117" s="191">
        <f t="shared" si="212"/>
        <v>0.83130812352159689</v>
      </c>
      <c r="W117" s="191">
        <f t="shared" si="213"/>
        <v>0.36819749565425058</v>
      </c>
      <c r="X117" s="175">
        <f t="shared" si="214"/>
        <v>277.21691678035478</v>
      </c>
      <c r="Y117" s="386">
        <f t="shared" si="215"/>
        <v>350</v>
      </c>
      <c r="AA117" s="191">
        <f t="shared" si="216"/>
        <v>0.14999999999999997</v>
      </c>
      <c r="AB117" s="153">
        <f t="shared" si="217"/>
        <v>1.1072834645669287</v>
      </c>
      <c r="AC117" s="153">
        <f t="shared" si="218"/>
        <v>2.3021828103683487E-2</v>
      </c>
      <c r="AD117" s="153"/>
      <c r="AE117" s="153">
        <f t="shared" si="219"/>
        <v>1.1072834645669289</v>
      </c>
      <c r="AF117" s="317">
        <f t="shared" si="220"/>
        <v>84.290370370370397</v>
      </c>
      <c r="AG117" s="463">
        <f t="shared" si="221"/>
        <v>2.3021828103683497E-2</v>
      </c>
      <c r="AI117" s="153">
        <f t="shared" si="222"/>
        <v>7.3611593289825403E-2</v>
      </c>
      <c r="AJ117" s="153">
        <f t="shared" si="223"/>
        <v>0.15</v>
      </c>
      <c r="AK117" s="153">
        <f t="shared" si="224"/>
        <v>1.0481659259259259</v>
      </c>
      <c r="AM117" s="317">
        <f t="shared" si="225"/>
        <v>7.0000000000000009</v>
      </c>
      <c r="AN117" s="147">
        <f t="shared" si="226"/>
        <v>84.290370370370397</v>
      </c>
      <c r="AP117" s="147">
        <f t="shared" si="227"/>
        <v>7.0000000000000009</v>
      </c>
      <c r="AQ117" s="147">
        <f t="shared" si="228"/>
        <v>84.290370370370397</v>
      </c>
      <c r="AS117" s="5">
        <f t="shared" si="175"/>
        <v>11.863751406074238</v>
      </c>
      <c r="AT117" s="5">
        <f t="shared" si="229"/>
        <v>2.5</v>
      </c>
      <c r="AU117" s="5">
        <f t="shared" si="230"/>
        <v>9.3637514060742379</v>
      </c>
      <c r="AV117" s="5"/>
      <c r="AW117" s="153">
        <f t="shared" si="231"/>
        <v>0.21072592592592598</v>
      </c>
      <c r="AX117" s="153">
        <f t="shared" si="150"/>
        <v>0.14224000000000003</v>
      </c>
      <c r="AY117" s="153">
        <f t="shared" si="151"/>
        <v>5.919555555555555E-2</v>
      </c>
      <c r="AZ117" s="153">
        <f t="shared" si="178"/>
        <v>2.4028830993317825</v>
      </c>
      <c r="BA117" s="147">
        <f t="shared" si="232"/>
        <v>7.5578700647486725</v>
      </c>
      <c r="BB117" s="147">
        <f t="shared" si="233"/>
        <v>0.30049618148148155</v>
      </c>
      <c r="BC117" s="5">
        <f t="shared" ref="BC117:BC180" si="258">H117/Efficiency/I117*AU117/Vinripple1</f>
        <v>0.16184261689511031</v>
      </c>
      <c r="BD117" s="147">
        <f t="shared" si="235"/>
        <v>16.236113541362883</v>
      </c>
      <c r="BF117" s="153">
        <f t="shared" si="179"/>
        <v>3.9754804042334869E-2</v>
      </c>
      <c r="BG117" s="153">
        <f t="shared" si="156"/>
        <v>7.6938647996670412E-2</v>
      </c>
      <c r="BI117" s="463">
        <f t="shared" si="236"/>
        <v>5.5315555555555571E-4</v>
      </c>
      <c r="BJ117" s="463">
        <f t="shared" si="237"/>
        <v>1.8535452444444448E-3</v>
      </c>
      <c r="BK117" s="463">
        <f t="shared" si="238"/>
        <v>1.0536296296296298E-3</v>
      </c>
      <c r="BL117" s="463">
        <f t="shared" si="239"/>
        <v>3.6230631044740758E-3</v>
      </c>
      <c r="BM117">
        <f t="shared" si="240"/>
        <v>2.6099999999999999E-3</v>
      </c>
      <c r="BN117">
        <f t="shared" si="241"/>
        <v>8.4290370370370396E-7</v>
      </c>
      <c r="BO117" s="463">
        <f t="shared" si="242"/>
        <v>9.7699095274180296E-3</v>
      </c>
      <c r="BP117" s="147">
        <f t="shared" si="243"/>
        <v>9.6933935341037056</v>
      </c>
      <c r="BQ117" s="463">
        <f t="shared" si="244"/>
        <v>7.1965404444444461E-3</v>
      </c>
      <c r="BT117" s="147">
        <f t="shared" si="245"/>
        <v>7.1965404444444463</v>
      </c>
      <c r="BU117" s="463">
        <f t="shared" si="246"/>
        <v>1.264355555555556E-3</v>
      </c>
      <c r="BV117" s="463">
        <f t="shared" si="247"/>
        <v>4.711966222222223E-3</v>
      </c>
      <c r="BW117" s="463">
        <f t="shared" si="248"/>
        <v>0</v>
      </c>
      <c r="BX117" s="463"/>
      <c r="BY117" s="463">
        <f t="shared" si="249"/>
        <v>2.8448000000000011E-3</v>
      </c>
      <c r="BZ117" s="147">
        <f t="shared" si="250"/>
        <v>8.8211217777777815</v>
      </c>
      <c r="CA117" s="153">
        <f t="shared" si="251"/>
        <v>2.5711055756325929E-2</v>
      </c>
      <c r="CB117" s="5">
        <f t="shared" si="252"/>
        <v>0.14000000000000001</v>
      </c>
      <c r="CC117" s="153">
        <f t="shared" si="253"/>
        <v>0.84484405316846567</v>
      </c>
      <c r="CD117" s="5">
        <f t="shared" si="254"/>
        <v>84.484405316846562</v>
      </c>
      <c r="CG117" s="59">
        <f t="shared" si="255"/>
        <v>-50</v>
      </c>
      <c r="CH117">
        <f t="shared" si="256"/>
        <v>-50</v>
      </c>
    </row>
    <row r="118" spans="5:86" x14ac:dyDescent="0.25">
      <c r="E118" s="150">
        <v>8</v>
      </c>
      <c r="F118" s="191">
        <f t="shared" si="257"/>
        <v>8.0000000000000002E-3</v>
      </c>
      <c r="G118" s="191"/>
      <c r="H118" s="191">
        <f t="shared" si="201"/>
        <v>0.16</v>
      </c>
      <c r="I118" s="472">
        <f t="shared" si="202"/>
        <v>9</v>
      </c>
      <c r="J118" s="386">
        <f t="shared" si="203"/>
        <v>20.32</v>
      </c>
      <c r="K118" s="386">
        <f t="shared" si="204"/>
        <v>29.32</v>
      </c>
      <c r="L118" s="386"/>
      <c r="M118" s="191">
        <f t="shared" si="205"/>
        <v>0.69304229195088674</v>
      </c>
      <c r="N118" s="152">
        <f t="shared" si="206"/>
        <v>2.1101682401091408</v>
      </c>
      <c r="O118" s="152">
        <f t="shared" si="173"/>
        <v>0.16</v>
      </c>
      <c r="P118" s="191">
        <f t="shared" si="207"/>
        <v>0.10550841200545705</v>
      </c>
      <c r="Q118" s="191">
        <f t="shared" si="208"/>
        <v>20</v>
      </c>
      <c r="R118" s="191"/>
      <c r="S118" s="152">
        <f t="shared" si="209"/>
        <v>370.69526248389548</v>
      </c>
      <c r="T118" s="152">
        <f t="shared" si="210"/>
        <v>20</v>
      </c>
      <c r="U118" s="191">
        <f t="shared" si="211"/>
        <v>5.7003985612909501E-2</v>
      </c>
      <c r="V118" s="191">
        <f t="shared" si="212"/>
        <v>0.95006642688182485</v>
      </c>
      <c r="W118" s="191">
        <f t="shared" si="213"/>
        <v>0.42079713789057205</v>
      </c>
      <c r="X118" s="175">
        <f t="shared" si="214"/>
        <v>277.21691678035478</v>
      </c>
      <c r="Y118" s="386">
        <f t="shared" si="215"/>
        <v>350</v>
      </c>
      <c r="AA118" s="191">
        <f t="shared" si="216"/>
        <v>0.14999999999999997</v>
      </c>
      <c r="AB118" s="153">
        <f t="shared" si="217"/>
        <v>1.1072834645669287</v>
      </c>
      <c r="AC118" s="153">
        <f t="shared" si="218"/>
        <v>2.3021828103683487E-2</v>
      </c>
      <c r="AD118" s="153"/>
      <c r="AE118" s="153">
        <f t="shared" si="219"/>
        <v>1.1072834645669289</v>
      </c>
      <c r="AF118" s="317">
        <f t="shared" si="220"/>
        <v>96.331851851851852</v>
      </c>
      <c r="AG118" s="463">
        <f t="shared" si="221"/>
        <v>2.3021828103683497E-2</v>
      </c>
      <c r="AI118" s="153">
        <f t="shared" si="222"/>
        <v>7.8694103367164078E-2</v>
      </c>
      <c r="AJ118" s="153">
        <f t="shared" si="223"/>
        <v>0.15</v>
      </c>
      <c r="AK118" s="153">
        <f t="shared" si="224"/>
        <v>1.0550467724867725</v>
      </c>
      <c r="AM118" s="317">
        <f t="shared" si="225"/>
        <v>8</v>
      </c>
      <c r="AN118" s="147">
        <f t="shared" si="226"/>
        <v>96.331851851851852</v>
      </c>
      <c r="AP118" s="147">
        <f t="shared" si="227"/>
        <v>8</v>
      </c>
      <c r="AQ118" s="147">
        <f t="shared" si="228"/>
        <v>96.331851851851852</v>
      </c>
      <c r="AS118" s="5">
        <f t="shared" si="175"/>
        <v>10.380782480314961</v>
      </c>
      <c r="AT118" s="5">
        <f t="shared" si="229"/>
        <v>2.5</v>
      </c>
      <c r="AU118" s="5">
        <f t="shared" si="230"/>
        <v>7.8807824803149611</v>
      </c>
      <c r="AV118" s="5"/>
      <c r="AW118" s="153">
        <f t="shared" si="231"/>
        <v>0.24082962962962962</v>
      </c>
      <c r="AX118" s="153">
        <f t="shared" si="150"/>
        <v>0.16255999999999995</v>
      </c>
      <c r="AY118" s="153">
        <f t="shared" si="151"/>
        <v>5.6937777777777775E-2</v>
      </c>
      <c r="AZ118" s="153">
        <f t="shared" si="178"/>
        <v>2.8550464444617898</v>
      </c>
      <c r="BA118" s="147">
        <f t="shared" si="232"/>
        <v>7.5578700647486725</v>
      </c>
      <c r="BB118" s="147">
        <f t="shared" si="233"/>
        <v>0.3890562370370369</v>
      </c>
      <c r="BC118" s="5">
        <f t="shared" si="258"/>
        <v>0.1556697773889375</v>
      </c>
      <c r="BD118" s="147">
        <f t="shared" si="235"/>
        <v>15.62623699815301</v>
      </c>
      <c r="BF118" s="153">
        <f t="shared" si="179"/>
        <v>4.2499673201357932E-2</v>
      </c>
      <c r="BG118" s="153">
        <f t="shared" si="156"/>
        <v>7.5457125427475555E-2</v>
      </c>
      <c r="BI118" s="463">
        <f t="shared" si="236"/>
        <v>6.3217777777777756E-4</v>
      </c>
      <c r="BJ118" s="463">
        <f t="shared" si="237"/>
        <v>2.1183374222222221E-3</v>
      </c>
      <c r="BK118" s="463">
        <f t="shared" si="238"/>
        <v>1.2041481481481482E-3</v>
      </c>
      <c r="BL118" s="463">
        <f t="shared" si="239"/>
        <v>4.1406435479703716E-3</v>
      </c>
      <c r="BM118">
        <f t="shared" si="240"/>
        <v>2.6099999999999999E-3</v>
      </c>
      <c r="BN118">
        <f t="shared" si="241"/>
        <v>9.6331851851851863E-7</v>
      </c>
      <c r="BO118" s="463">
        <f t="shared" si="242"/>
        <v>1.0792873060813658E-2</v>
      </c>
      <c r="BP118" s="147">
        <f t="shared" si="243"/>
        <v>10.70530689611852</v>
      </c>
      <c r="BQ118" s="463">
        <f t="shared" si="244"/>
        <v>7.4060462222222236E-3</v>
      </c>
      <c r="BT118" s="147">
        <f t="shared" si="245"/>
        <v>7.4060462222222236</v>
      </c>
      <c r="BU118" s="463">
        <f t="shared" si="246"/>
        <v>1.4449777777777774E-3</v>
      </c>
      <c r="BV118" s="463">
        <f t="shared" si="247"/>
        <v>4.5322471111111113E-3</v>
      </c>
      <c r="BW118" s="463">
        <f t="shared" si="248"/>
        <v>0</v>
      </c>
      <c r="BX118" s="463"/>
      <c r="BY118" s="463">
        <f t="shared" si="249"/>
        <v>3.2512000000000001E-3</v>
      </c>
      <c r="BZ118" s="147">
        <f t="shared" si="250"/>
        <v>9.2284248888888882</v>
      </c>
      <c r="CA118" s="153">
        <f t="shared" si="251"/>
        <v>2.7339778007229632E-2</v>
      </c>
      <c r="CB118" s="5">
        <f t="shared" si="252"/>
        <v>0.16</v>
      </c>
      <c r="CC118" s="153">
        <f t="shared" si="253"/>
        <v>0.85406314506161862</v>
      </c>
      <c r="CD118" s="5">
        <f t="shared" si="254"/>
        <v>85.406314506161863</v>
      </c>
      <c r="CG118" s="59">
        <f t="shared" si="255"/>
        <v>-50</v>
      </c>
      <c r="CH118">
        <f t="shared" si="256"/>
        <v>-50</v>
      </c>
    </row>
    <row r="119" spans="5:86" x14ac:dyDescent="0.25">
      <c r="E119" s="150">
        <v>9</v>
      </c>
      <c r="F119" s="191">
        <f t="shared" si="257"/>
        <v>8.9999999999999993E-3</v>
      </c>
      <c r="G119" s="191"/>
      <c r="H119" s="191">
        <f t="shared" si="201"/>
        <v>0.18</v>
      </c>
      <c r="I119" s="472">
        <f t="shared" si="202"/>
        <v>9</v>
      </c>
      <c r="J119" s="386">
        <f t="shared" si="203"/>
        <v>20.32</v>
      </c>
      <c r="K119" s="386">
        <f t="shared" si="204"/>
        <v>29.32</v>
      </c>
      <c r="L119" s="386"/>
      <c r="M119" s="191">
        <f t="shared" si="205"/>
        <v>0.69304229195088674</v>
      </c>
      <c r="N119" s="152">
        <f t="shared" si="206"/>
        <v>2.1101682401091408</v>
      </c>
      <c r="O119" s="152">
        <f t="shared" si="173"/>
        <v>0.18</v>
      </c>
      <c r="P119" s="191">
        <f t="shared" si="207"/>
        <v>0.10550841200545705</v>
      </c>
      <c r="Q119" s="191">
        <f t="shared" si="208"/>
        <v>20</v>
      </c>
      <c r="R119" s="191"/>
      <c r="S119" s="152">
        <f t="shared" si="209"/>
        <v>328.50875835804146</v>
      </c>
      <c r="T119" s="152">
        <f t="shared" si="210"/>
        <v>20</v>
      </c>
      <c r="U119" s="191">
        <f t="shared" si="211"/>
        <v>6.4129483814523186E-2</v>
      </c>
      <c r="V119" s="191">
        <f t="shared" si="212"/>
        <v>1.068824730242053</v>
      </c>
      <c r="W119" s="191">
        <f t="shared" si="213"/>
        <v>0.47339678012689351</v>
      </c>
      <c r="X119" s="175">
        <f t="shared" si="214"/>
        <v>277.21691678035478</v>
      </c>
      <c r="Y119" s="386">
        <f t="shared" si="215"/>
        <v>350</v>
      </c>
      <c r="AA119" s="191">
        <f t="shared" si="216"/>
        <v>0.14999999999999997</v>
      </c>
      <c r="AB119" s="153">
        <f t="shared" si="217"/>
        <v>1.1072834645669287</v>
      </c>
      <c r="AC119" s="153">
        <f t="shared" si="218"/>
        <v>2.3021828103683487E-2</v>
      </c>
      <c r="AD119" s="153"/>
      <c r="AE119" s="153">
        <f t="shared" si="219"/>
        <v>1.1072834645669289</v>
      </c>
      <c r="AF119" s="317">
        <f t="shared" si="220"/>
        <v>108.37333333333333</v>
      </c>
      <c r="AG119" s="463">
        <f t="shared" si="221"/>
        <v>2.3021828103683497E-2</v>
      </c>
      <c r="AI119" s="153">
        <f t="shared" si="222"/>
        <v>8.3467701195475266E-2</v>
      </c>
      <c r="AJ119" s="153">
        <f t="shared" si="223"/>
        <v>0.15</v>
      </c>
      <c r="AK119" s="153">
        <f t="shared" si="224"/>
        <v>1.061927619047619</v>
      </c>
      <c r="AM119" s="317">
        <f t="shared" si="225"/>
        <v>9</v>
      </c>
      <c r="AN119" s="147">
        <f t="shared" si="226"/>
        <v>108.37333333333333</v>
      </c>
      <c r="AP119" s="147">
        <f t="shared" si="227"/>
        <v>9</v>
      </c>
      <c r="AQ119" s="147">
        <f t="shared" si="228"/>
        <v>108.37333333333333</v>
      </c>
      <c r="AS119" s="5">
        <f t="shared" si="175"/>
        <v>9.2273622047244093</v>
      </c>
      <c r="AT119" s="5">
        <f t="shared" si="229"/>
        <v>2.5</v>
      </c>
      <c r="AU119" s="5">
        <f t="shared" si="230"/>
        <v>6.7273622047244093</v>
      </c>
      <c r="AV119" s="5"/>
      <c r="AW119" s="153">
        <f t="shared" si="231"/>
        <v>0.27093333333333336</v>
      </c>
      <c r="AX119" s="153">
        <f t="shared" si="150"/>
        <v>0.18287999999999999</v>
      </c>
      <c r="AY119" s="153">
        <f t="shared" si="151"/>
        <v>5.4679999999999999E-2</v>
      </c>
      <c r="AZ119" s="153">
        <f t="shared" si="178"/>
        <v>3.344550109729334</v>
      </c>
      <c r="BA119" s="147">
        <f t="shared" si="232"/>
        <v>7.5578700647486725</v>
      </c>
      <c r="BB119" s="147">
        <f t="shared" si="233"/>
        <v>0.48902429999999986</v>
      </c>
      <c r="BC119" s="5">
        <f t="shared" si="258"/>
        <v>0.14949693788276464</v>
      </c>
      <c r="BD119" s="147">
        <f t="shared" si="235"/>
        <v>15.016360454943133</v>
      </c>
      <c r="BF119" s="153">
        <f t="shared" si="179"/>
        <v>4.507771067833858E-2</v>
      </c>
      <c r="BG119" s="153">
        <f t="shared" si="156"/>
        <v>7.3945926189344605E-2</v>
      </c>
      <c r="BI119" s="463">
        <f t="shared" si="236"/>
        <v>7.1119999999999994E-4</v>
      </c>
      <c r="BJ119" s="463">
        <f t="shared" si="237"/>
        <v>2.3831295999999997E-3</v>
      </c>
      <c r="BK119" s="463">
        <f t="shared" si="238"/>
        <v>1.3546666666666668E-3</v>
      </c>
      <c r="BL119" s="463">
        <f t="shared" si="239"/>
        <v>4.6582239914666678E-3</v>
      </c>
      <c r="BM119">
        <f t="shared" si="240"/>
        <v>2.6099999999999999E-3</v>
      </c>
      <c r="BN119">
        <f t="shared" si="241"/>
        <v>1.0837333333333333E-6</v>
      </c>
      <c r="BO119" s="463">
        <f t="shared" si="242"/>
        <v>1.1815866426922089E-2</v>
      </c>
      <c r="BP119" s="147">
        <f t="shared" si="243"/>
        <v>11.717220258133333</v>
      </c>
      <c r="BQ119" s="463">
        <f t="shared" si="244"/>
        <v>7.6155520000000011E-3</v>
      </c>
      <c r="BT119" s="147">
        <f t="shared" si="245"/>
        <v>7.615552000000001</v>
      </c>
      <c r="BU119" s="463">
        <f t="shared" si="246"/>
        <v>1.6256E-3</v>
      </c>
      <c r="BV119" s="463">
        <f t="shared" si="247"/>
        <v>4.3525280000000005E-3</v>
      </c>
      <c r="BW119" s="463">
        <f t="shared" si="248"/>
        <v>0</v>
      </c>
      <c r="BX119" s="463"/>
      <c r="BY119" s="463">
        <f t="shared" si="249"/>
        <v>3.6576000000000004E-3</v>
      </c>
      <c r="BZ119" s="147">
        <f t="shared" si="250"/>
        <v>9.6357280000000021</v>
      </c>
      <c r="CA119" s="153">
        <f t="shared" si="251"/>
        <v>2.8968500258133335E-2</v>
      </c>
      <c r="CB119" s="5">
        <f t="shared" si="252"/>
        <v>0.18</v>
      </c>
      <c r="CC119" s="153">
        <f t="shared" si="253"/>
        <v>0.86137384236212966</v>
      </c>
      <c r="CD119" s="5">
        <f t="shared" si="254"/>
        <v>86.137384236212966</v>
      </c>
      <c r="CG119" s="59">
        <f t="shared" si="255"/>
        <v>-50</v>
      </c>
      <c r="CH119">
        <f t="shared" si="256"/>
        <v>-50</v>
      </c>
    </row>
    <row r="120" spans="5:86" x14ac:dyDescent="0.25">
      <c r="E120" s="150">
        <v>10</v>
      </c>
      <c r="F120" s="191">
        <f t="shared" si="257"/>
        <v>1.0000000000000002E-2</v>
      </c>
      <c r="G120" s="191"/>
      <c r="H120" s="191">
        <f t="shared" si="201"/>
        <v>0.20000000000000004</v>
      </c>
      <c r="I120" s="472">
        <f t="shared" si="202"/>
        <v>9</v>
      </c>
      <c r="J120" s="386">
        <f t="shared" si="203"/>
        <v>20.32</v>
      </c>
      <c r="K120" s="386">
        <f t="shared" si="204"/>
        <v>29.32</v>
      </c>
      <c r="L120" s="386"/>
      <c r="M120" s="191">
        <f t="shared" si="205"/>
        <v>0.69304229195088674</v>
      </c>
      <c r="N120" s="152">
        <f t="shared" si="206"/>
        <v>2.1101682401091408</v>
      </c>
      <c r="O120" s="152">
        <f t="shared" si="173"/>
        <v>0.20000000000000004</v>
      </c>
      <c r="P120" s="191">
        <f t="shared" si="207"/>
        <v>0.10550841200545705</v>
      </c>
      <c r="Q120" s="191">
        <f t="shared" si="208"/>
        <v>20</v>
      </c>
      <c r="R120" s="191"/>
      <c r="S120" s="152">
        <f t="shared" si="209"/>
        <v>294.75976007300284</v>
      </c>
      <c r="T120" s="152">
        <f t="shared" si="210"/>
        <v>20</v>
      </c>
      <c r="U120" s="191">
        <f t="shared" si="211"/>
        <v>7.1254982016136892E-2</v>
      </c>
      <c r="V120" s="191">
        <f t="shared" si="212"/>
        <v>1.1875830336022812</v>
      </c>
      <c r="W120" s="191">
        <f t="shared" si="213"/>
        <v>0.5259964223632152</v>
      </c>
      <c r="X120" s="175">
        <f t="shared" si="214"/>
        <v>277.21691678035478</v>
      </c>
      <c r="Y120" s="386">
        <f t="shared" si="215"/>
        <v>350</v>
      </c>
      <c r="AA120" s="191">
        <f t="shared" si="216"/>
        <v>0.14999999999999997</v>
      </c>
      <c r="AB120" s="153">
        <f t="shared" si="217"/>
        <v>1.1072834645669287</v>
      </c>
      <c r="AC120" s="153">
        <f t="shared" si="218"/>
        <v>2.3021828103683487E-2</v>
      </c>
      <c r="AD120" s="153"/>
      <c r="AE120" s="153">
        <f t="shared" si="219"/>
        <v>1.1072834645669289</v>
      </c>
      <c r="AF120" s="317">
        <f t="shared" si="220"/>
        <v>120.41481481481485</v>
      </c>
      <c r="AG120" s="463">
        <f t="shared" si="221"/>
        <v>2.3021828103683497E-2</v>
      </c>
      <c r="AI120" s="153">
        <f t="shared" si="222"/>
        <v>8.7982682278686997E-2</v>
      </c>
      <c r="AJ120" s="153">
        <f t="shared" si="223"/>
        <v>0.15</v>
      </c>
      <c r="AK120" s="153">
        <f t="shared" si="224"/>
        <v>1.0688084656084655</v>
      </c>
      <c r="AM120" s="317">
        <f t="shared" si="225"/>
        <v>10.000000000000002</v>
      </c>
      <c r="AN120" s="147">
        <f t="shared" si="226"/>
        <v>120.41481481481485</v>
      </c>
      <c r="AP120" s="147">
        <f t="shared" si="227"/>
        <v>10.000000000000002</v>
      </c>
      <c r="AQ120" s="147">
        <f t="shared" si="228"/>
        <v>120.41481481481485</v>
      </c>
      <c r="AS120" s="5">
        <f t="shared" si="175"/>
        <v>8.3046259842519667</v>
      </c>
      <c r="AT120" s="5">
        <f t="shared" si="229"/>
        <v>2.5</v>
      </c>
      <c r="AU120" s="5">
        <f t="shared" si="230"/>
        <v>5.8046259842519667</v>
      </c>
      <c r="AV120" s="5"/>
      <c r="AW120" s="153">
        <f t="shared" si="231"/>
        <v>0.3010370370370371</v>
      </c>
      <c r="AX120" s="153">
        <f t="shared" si="150"/>
        <v>0.20320000000000002</v>
      </c>
      <c r="AY120" s="153">
        <f t="shared" si="151"/>
        <v>5.2422222222222217E-2</v>
      </c>
      <c r="AZ120" s="153">
        <f t="shared" si="178"/>
        <v>3.876218736752862</v>
      </c>
      <c r="BA120" s="147">
        <f t="shared" si="232"/>
        <v>7.5578700647486725</v>
      </c>
      <c r="BB120" s="147">
        <f t="shared" si="233"/>
        <v>0.60040037037037053</v>
      </c>
      <c r="BC120" s="5">
        <f t="shared" si="258"/>
        <v>0.1433240983765918</v>
      </c>
      <c r="BD120" s="147">
        <f t="shared" si="235"/>
        <v>14.406483911733252</v>
      </c>
      <c r="BF120" s="153">
        <f t="shared" si="179"/>
        <v>4.7516079149881235E-2</v>
      </c>
      <c r="BG120" s="153">
        <f t="shared" si="156"/>
        <v>7.2403192072050399E-2</v>
      </c>
      <c r="BI120" s="463">
        <f t="shared" si="236"/>
        <v>7.9022222222222232E-4</v>
      </c>
      <c r="BJ120" s="463">
        <f t="shared" si="237"/>
        <v>2.6479217777777785E-3</v>
      </c>
      <c r="BK120" s="463">
        <f t="shared" si="238"/>
        <v>1.5051851851851856E-3</v>
      </c>
      <c r="BL120" s="463">
        <f t="shared" si="239"/>
        <v>5.1758044349629649E-3</v>
      </c>
      <c r="BM120">
        <f t="shared" si="240"/>
        <v>2.6099999999999999E-3</v>
      </c>
      <c r="BN120">
        <f t="shared" si="241"/>
        <v>1.2041481481481484E-6</v>
      </c>
      <c r="BO120" s="463">
        <f t="shared" si="242"/>
        <v>1.2838889627048364E-2</v>
      </c>
      <c r="BP120" s="147">
        <f t="shared" si="243"/>
        <v>12.729133620148151</v>
      </c>
      <c r="BQ120" s="463">
        <f t="shared" si="244"/>
        <v>7.8250577777777778E-3</v>
      </c>
      <c r="BT120" s="147">
        <f t="shared" si="245"/>
        <v>7.8250577777777774</v>
      </c>
      <c r="BU120" s="463">
        <f t="shared" si="246"/>
        <v>1.8062222222222227E-3</v>
      </c>
      <c r="BV120" s="463">
        <f t="shared" si="247"/>
        <v>4.1728088888888888E-3</v>
      </c>
      <c r="BW120" s="463">
        <f t="shared" si="248"/>
        <v>0</v>
      </c>
      <c r="BX120" s="463"/>
      <c r="BY120" s="463">
        <f t="shared" si="249"/>
        <v>4.0640000000000016E-3</v>
      </c>
      <c r="BZ120" s="147">
        <f t="shared" si="250"/>
        <v>10.043031111111114</v>
      </c>
      <c r="CA120" s="153">
        <f t="shared" si="251"/>
        <v>3.0597222509037042E-2</v>
      </c>
      <c r="CB120" s="5">
        <f t="shared" si="252"/>
        <v>0.20000000000000004</v>
      </c>
      <c r="CC120" s="153">
        <f t="shared" si="253"/>
        <v>0.86731313510145192</v>
      </c>
      <c r="CD120" s="5">
        <f t="shared" si="254"/>
        <v>86.731313510145185</v>
      </c>
      <c r="CG120" s="59">
        <f t="shared" si="255"/>
        <v>-50</v>
      </c>
      <c r="CH120">
        <f t="shared" si="256"/>
        <v>-50</v>
      </c>
    </row>
    <row r="121" spans="5:86" x14ac:dyDescent="0.25">
      <c r="E121" s="150">
        <v>11</v>
      </c>
      <c r="F121" s="191">
        <f t="shared" si="257"/>
        <v>1.1000000000000001E-2</v>
      </c>
      <c r="G121" s="191"/>
      <c r="H121" s="191">
        <f t="shared" si="201"/>
        <v>0.22000000000000003</v>
      </c>
      <c r="I121" s="472">
        <f t="shared" si="202"/>
        <v>9</v>
      </c>
      <c r="J121" s="386">
        <f t="shared" si="203"/>
        <v>20.32</v>
      </c>
      <c r="K121" s="386">
        <f t="shared" si="204"/>
        <v>29.32</v>
      </c>
      <c r="L121" s="386"/>
      <c r="M121" s="191">
        <f t="shared" si="205"/>
        <v>0.69304229195088674</v>
      </c>
      <c r="N121" s="152">
        <f t="shared" si="206"/>
        <v>2.1101682401091408</v>
      </c>
      <c r="O121" s="152">
        <f t="shared" si="173"/>
        <v>0.22000000000000003</v>
      </c>
      <c r="P121" s="191">
        <f t="shared" si="207"/>
        <v>0.10550841200545705</v>
      </c>
      <c r="Q121" s="191">
        <f t="shared" si="208"/>
        <v>20</v>
      </c>
      <c r="R121" s="191"/>
      <c r="S121" s="152">
        <f t="shared" si="209"/>
        <v>267.1471313145671</v>
      </c>
      <c r="T121" s="152">
        <f t="shared" si="210"/>
        <v>20</v>
      </c>
      <c r="U121" s="191">
        <f t="shared" si="211"/>
        <v>7.838048021775057E-2</v>
      </c>
      <c r="V121" s="191">
        <f t="shared" si="212"/>
        <v>1.3063413369625094</v>
      </c>
      <c r="W121" s="191">
        <f t="shared" si="213"/>
        <v>0.57859606459953672</v>
      </c>
      <c r="X121" s="175">
        <f t="shared" si="214"/>
        <v>277.21691678035478</v>
      </c>
      <c r="Y121" s="386">
        <f t="shared" si="215"/>
        <v>350</v>
      </c>
      <c r="AA121" s="191">
        <f t="shared" si="216"/>
        <v>0.14999999999999997</v>
      </c>
      <c r="AB121" s="153">
        <f t="shared" si="217"/>
        <v>1.1072834645669287</v>
      </c>
      <c r="AC121" s="153">
        <f t="shared" si="218"/>
        <v>2.3021828103683487E-2</v>
      </c>
      <c r="AD121" s="153"/>
      <c r="AE121" s="153">
        <f t="shared" si="219"/>
        <v>1.1072834645669289</v>
      </c>
      <c r="AF121" s="317">
        <f t="shared" si="220"/>
        <v>132.45629629629633</v>
      </c>
      <c r="AG121" s="463">
        <f t="shared" si="221"/>
        <v>2.3021828103683497E-2</v>
      </c>
      <c r="AI121" s="153">
        <f t="shared" si="222"/>
        <v>9.2277015659630118E-2</v>
      </c>
      <c r="AJ121" s="153">
        <f t="shared" si="223"/>
        <v>0.15</v>
      </c>
      <c r="AK121" s="153">
        <f t="shared" si="224"/>
        <v>1.0756893121693123</v>
      </c>
      <c r="AM121" s="317">
        <f t="shared" si="225"/>
        <v>11.000000000000002</v>
      </c>
      <c r="AN121" s="147">
        <f t="shared" si="226"/>
        <v>132.45629629629633</v>
      </c>
      <c r="AP121" s="147">
        <f t="shared" si="227"/>
        <v>11.000000000000002</v>
      </c>
      <c r="AQ121" s="147">
        <f t="shared" si="228"/>
        <v>132.45629629629633</v>
      </c>
      <c r="AS121" s="5">
        <f t="shared" si="175"/>
        <v>7.549659985683606</v>
      </c>
      <c r="AT121" s="5">
        <f t="shared" si="229"/>
        <v>2.5</v>
      </c>
      <c r="AU121" s="5">
        <f t="shared" si="230"/>
        <v>5.049659985683606</v>
      </c>
      <c r="AV121" s="5"/>
      <c r="AW121" s="153">
        <f t="shared" si="231"/>
        <v>0.33114074074074079</v>
      </c>
      <c r="AX121" s="153">
        <f t="shared" si="150"/>
        <v>0.22352000000000002</v>
      </c>
      <c r="AY121" s="153">
        <f t="shared" si="151"/>
        <v>5.0164444444444442E-2</v>
      </c>
      <c r="AZ121" s="153">
        <f t="shared" si="178"/>
        <v>4.4557455479755479</v>
      </c>
      <c r="BA121" s="147">
        <f t="shared" si="232"/>
        <v>7.5578700647486725</v>
      </c>
      <c r="BB121" s="147">
        <f t="shared" si="233"/>
        <v>0.72318444814814831</v>
      </c>
      <c r="BC121" s="5">
        <f t="shared" si="258"/>
        <v>0.13715125887041896</v>
      </c>
      <c r="BD121" s="147">
        <f t="shared" si="235"/>
        <v>13.796607368523377</v>
      </c>
      <c r="BF121" s="153">
        <f t="shared" si="179"/>
        <v>4.9835284242748697E-2</v>
      </c>
      <c r="BG121" s="153">
        <f t="shared" si="156"/>
        <v>7.0826862449528599E-2</v>
      </c>
      <c r="BI121" s="463">
        <f t="shared" si="236"/>
        <v>8.6924444444444471E-4</v>
      </c>
      <c r="BJ121" s="463">
        <f t="shared" si="237"/>
        <v>2.9127139555555561E-3</v>
      </c>
      <c r="BK121" s="463">
        <f t="shared" si="238"/>
        <v>1.6557037037037039E-3</v>
      </c>
      <c r="BL121" s="463">
        <f t="shared" si="239"/>
        <v>5.6933848784592612E-3</v>
      </c>
      <c r="BM121">
        <f t="shared" si="240"/>
        <v>2.6099999999999999E-3</v>
      </c>
      <c r="BN121">
        <f t="shared" si="241"/>
        <v>1.3245629629629633E-6</v>
      </c>
      <c r="BO121" s="463">
        <f t="shared" si="242"/>
        <v>1.3861942662497592E-2</v>
      </c>
      <c r="BP121" s="147">
        <f t="shared" si="243"/>
        <v>13.741046982162965</v>
      </c>
      <c r="BQ121" s="463">
        <f t="shared" si="244"/>
        <v>8.0345635555555545E-3</v>
      </c>
      <c r="BT121" s="147">
        <f t="shared" si="245"/>
        <v>8.0345635555555539</v>
      </c>
      <c r="BU121" s="463">
        <f t="shared" si="246"/>
        <v>1.9868444444444454E-3</v>
      </c>
      <c r="BV121" s="463">
        <f t="shared" si="247"/>
        <v>3.993089777777778E-3</v>
      </c>
      <c r="BW121" s="463">
        <f t="shared" si="248"/>
        <v>0</v>
      </c>
      <c r="BX121" s="463"/>
      <c r="BY121" s="463">
        <f t="shared" si="249"/>
        <v>4.4704000000000011E-3</v>
      </c>
      <c r="BZ121" s="147">
        <f t="shared" si="250"/>
        <v>10.450334222222226</v>
      </c>
      <c r="CA121" s="153">
        <f t="shared" si="251"/>
        <v>3.2225944759940742E-2</v>
      </c>
      <c r="CB121" s="5">
        <f t="shared" si="252"/>
        <v>0.22000000000000003</v>
      </c>
      <c r="CC121" s="153">
        <f t="shared" si="253"/>
        <v>0.872233822771039</v>
      </c>
      <c r="CD121" s="5">
        <f t="shared" si="254"/>
        <v>87.223382277103894</v>
      </c>
      <c r="CG121" s="59">
        <f t="shared" si="255"/>
        <v>-50</v>
      </c>
      <c r="CH121">
        <f t="shared" si="256"/>
        <v>-50</v>
      </c>
    </row>
    <row r="122" spans="5:86" x14ac:dyDescent="0.25">
      <c r="E122" s="150">
        <v>12</v>
      </c>
      <c r="F122" s="191">
        <f t="shared" si="257"/>
        <v>1.2E-2</v>
      </c>
      <c r="G122" s="191"/>
      <c r="H122" s="191">
        <f t="shared" si="201"/>
        <v>0.24</v>
      </c>
      <c r="I122" s="472">
        <f t="shared" si="202"/>
        <v>9</v>
      </c>
      <c r="J122" s="386">
        <f t="shared" si="203"/>
        <v>20.32</v>
      </c>
      <c r="K122" s="386">
        <f t="shared" si="204"/>
        <v>29.32</v>
      </c>
      <c r="L122" s="386"/>
      <c r="M122" s="191">
        <f t="shared" si="205"/>
        <v>0.69304229195088674</v>
      </c>
      <c r="N122" s="152">
        <f t="shared" si="206"/>
        <v>2.1101682401091408</v>
      </c>
      <c r="O122" s="152">
        <f t="shared" si="173"/>
        <v>0.24</v>
      </c>
      <c r="P122" s="191">
        <f t="shared" si="207"/>
        <v>0.10550841200545705</v>
      </c>
      <c r="Q122" s="191">
        <f t="shared" si="208"/>
        <v>20</v>
      </c>
      <c r="R122" s="191"/>
      <c r="S122" s="152">
        <f t="shared" si="209"/>
        <v>244.13678122359948</v>
      </c>
      <c r="T122" s="152">
        <f t="shared" si="210"/>
        <v>20</v>
      </c>
      <c r="U122" s="191">
        <f t="shared" si="211"/>
        <v>8.5505978419364248E-2</v>
      </c>
      <c r="V122" s="191">
        <f t="shared" si="212"/>
        <v>1.4250996403227374</v>
      </c>
      <c r="W122" s="191">
        <f t="shared" si="213"/>
        <v>0.63119570683585813</v>
      </c>
      <c r="X122" s="175">
        <f t="shared" si="214"/>
        <v>277.21691678035478</v>
      </c>
      <c r="Y122" s="386">
        <f t="shared" si="215"/>
        <v>350</v>
      </c>
      <c r="AA122" s="191">
        <f t="shared" si="216"/>
        <v>0.14999999999999997</v>
      </c>
      <c r="AB122" s="153">
        <f t="shared" si="217"/>
        <v>1.1072834645669287</v>
      </c>
      <c r="AC122" s="153">
        <f t="shared" si="218"/>
        <v>2.3021828103683487E-2</v>
      </c>
      <c r="AD122" s="153"/>
      <c r="AE122" s="153">
        <f t="shared" si="219"/>
        <v>1.1072834645669289</v>
      </c>
      <c r="AF122" s="317">
        <f t="shared" si="220"/>
        <v>144.49777777777777</v>
      </c>
      <c r="AG122" s="463">
        <f t="shared" si="221"/>
        <v>2.3021828103683497E-2</v>
      </c>
      <c r="AI122" s="153">
        <f t="shared" si="222"/>
        <v>9.638019950769379E-2</v>
      </c>
      <c r="AJ122" s="153">
        <f t="shared" si="223"/>
        <v>0.15</v>
      </c>
      <c r="AK122" s="153">
        <f t="shared" si="224"/>
        <v>1.0825701587301588</v>
      </c>
      <c r="AM122" s="317">
        <f t="shared" si="225"/>
        <v>12</v>
      </c>
      <c r="AN122" s="147">
        <f t="shared" si="226"/>
        <v>144.49777777777777</v>
      </c>
      <c r="AP122" s="147">
        <f t="shared" si="227"/>
        <v>12</v>
      </c>
      <c r="AQ122" s="147">
        <f t="shared" si="228"/>
        <v>144.49777777777777</v>
      </c>
      <c r="AS122" s="5">
        <f t="shared" si="175"/>
        <v>6.9205216535433074</v>
      </c>
      <c r="AT122" s="5">
        <f t="shared" si="229"/>
        <v>2.5</v>
      </c>
      <c r="AU122" s="5">
        <f t="shared" si="230"/>
        <v>4.4205216535433074</v>
      </c>
      <c r="AV122" s="5"/>
      <c r="AW122" s="153">
        <f t="shared" si="231"/>
        <v>0.36124444444444442</v>
      </c>
      <c r="AX122" s="153">
        <f t="shared" si="150"/>
        <v>0.24383999999999995</v>
      </c>
      <c r="AY122" s="153">
        <f t="shared" si="151"/>
        <v>4.790666666666666E-2</v>
      </c>
      <c r="AZ122" s="153">
        <f t="shared" si="178"/>
        <v>5.0898970219871966</v>
      </c>
      <c r="BA122" s="147">
        <f t="shared" si="232"/>
        <v>7.5578700647486725</v>
      </c>
      <c r="BB122" s="147">
        <f t="shared" si="233"/>
        <v>0.85737653333333319</v>
      </c>
      <c r="BC122" s="5">
        <f t="shared" si="258"/>
        <v>0.13097841936424615</v>
      </c>
      <c r="BD122" s="147">
        <f t="shared" si="235"/>
        <v>13.186730825313502</v>
      </c>
      <c r="BF122" s="153">
        <f t="shared" si="179"/>
        <v>5.2051256789181689E-2</v>
      </c>
      <c r="BG122" s="153">
        <f t="shared" si="156"/>
        <v>6.9214641996232742E-2</v>
      </c>
      <c r="BI122" s="463">
        <f t="shared" si="236"/>
        <v>9.4826666666666655E-4</v>
      </c>
      <c r="BJ122" s="463">
        <f t="shared" si="237"/>
        <v>3.1775061333333336E-3</v>
      </c>
      <c r="BK122" s="463">
        <f t="shared" si="238"/>
        <v>1.8062222222222219E-3</v>
      </c>
      <c r="BL122" s="463">
        <f t="shared" si="239"/>
        <v>6.2109653219555557E-3</v>
      </c>
      <c r="BM122">
        <f t="shared" si="240"/>
        <v>2.6099999999999999E-3</v>
      </c>
      <c r="BN122">
        <f t="shared" si="241"/>
        <v>1.4449777777777777E-6</v>
      </c>
      <c r="BO122" s="463">
        <f t="shared" si="242"/>
        <v>1.4885025534574962E-2</v>
      </c>
      <c r="BP122" s="147">
        <f t="shared" si="243"/>
        <v>14.752960344177778</v>
      </c>
      <c r="BQ122" s="463">
        <f t="shared" si="244"/>
        <v>8.2440693333333346E-3</v>
      </c>
      <c r="BT122" s="147">
        <f t="shared" si="245"/>
        <v>8.2440693333333339</v>
      </c>
      <c r="BU122" s="463">
        <f t="shared" si="246"/>
        <v>2.1674666666666666E-3</v>
      </c>
      <c r="BV122" s="463">
        <f t="shared" si="247"/>
        <v>3.8133706666666658E-3</v>
      </c>
      <c r="BW122" s="463">
        <f t="shared" si="248"/>
        <v>0</v>
      </c>
      <c r="BX122" s="463"/>
      <c r="BY122" s="463">
        <f t="shared" si="249"/>
        <v>4.8767999999999997E-3</v>
      </c>
      <c r="BZ122" s="147">
        <f t="shared" si="250"/>
        <v>10.857637333333333</v>
      </c>
      <c r="CA122" s="153">
        <f t="shared" si="251"/>
        <v>3.3854667010844441E-2</v>
      </c>
      <c r="CB122" s="5">
        <f t="shared" si="252"/>
        <v>0.24</v>
      </c>
      <c r="CC122" s="153">
        <f t="shared" si="253"/>
        <v>0.87637725009264189</v>
      </c>
      <c r="CD122" s="5">
        <f t="shared" si="254"/>
        <v>87.637725009264187</v>
      </c>
      <c r="CG122" s="59">
        <f t="shared" si="255"/>
        <v>-50</v>
      </c>
      <c r="CH122">
        <f t="shared" si="256"/>
        <v>-50</v>
      </c>
    </row>
    <row r="123" spans="5:86" x14ac:dyDescent="0.25">
      <c r="E123" s="150">
        <v>13</v>
      </c>
      <c r="F123" s="191">
        <f t="shared" si="257"/>
        <v>1.3000000000000001E-2</v>
      </c>
      <c r="G123" s="191"/>
      <c r="H123" s="191">
        <f t="shared" si="201"/>
        <v>0.26</v>
      </c>
      <c r="I123" s="472">
        <f t="shared" si="202"/>
        <v>9</v>
      </c>
      <c r="J123" s="386">
        <f t="shared" si="203"/>
        <v>20.32</v>
      </c>
      <c r="K123" s="386">
        <f t="shared" si="204"/>
        <v>29.32</v>
      </c>
      <c r="L123" s="386"/>
      <c r="M123" s="191">
        <f t="shared" si="205"/>
        <v>0.69304229195088674</v>
      </c>
      <c r="N123" s="152">
        <f t="shared" si="206"/>
        <v>2.1101682401091408</v>
      </c>
      <c r="O123" s="152">
        <f t="shared" si="173"/>
        <v>0.26</v>
      </c>
      <c r="P123" s="191">
        <f t="shared" si="207"/>
        <v>0.10550841200545705</v>
      </c>
      <c r="Q123" s="191">
        <f t="shared" si="208"/>
        <v>20</v>
      </c>
      <c r="R123" s="191"/>
      <c r="S123" s="152">
        <f t="shared" si="209"/>
        <v>224.66664691353347</v>
      </c>
      <c r="T123" s="152">
        <f t="shared" si="210"/>
        <v>20</v>
      </c>
      <c r="U123" s="191">
        <f t="shared" si="211"/>
        <v>9.263147662097794E-2</v>
      </c>
      <c r="V123" s="191">
        <f t="shared" si="212"/>
        <v>1.5438579436829656</v>
      </c>
      <c r="W123" s="191">
        <f t="shared" si="213"/>
        <v>0.68379534907217954</v>
      </c>
      <c r="X123" s="175">
        <f t="shared" si="214"/>
        <v>277.21691678035478</v>
      </c>
      <c r="Y123" s="386">
        <f t="shared" si="215"/>
        <v>350</v>
      </c>
      <c r="AA123" s="191">
        <f t="shared" si="216"/>
        <v>0.14999999999999997</v>
      </c>
      <c r="AB123" s="153">
        <f t="shared" si="217"/>
        <v>1.1072834645669287</v>
      </c>
      <c r="AC123" s="153">
        <f t="shared" si="218"/>
        <v>2.3021828103683487E-2</v>
      </c>
      <c r="AD123" s="153"/>
      <c r="AE123" s="153">
        <f t="shared" si="219"/>
        <v>1.1072834645669289</v>
      </c>
      <c r="AF123" s="317">
        <f t="shared" si="220"/>
        <v>156.53925925925927</v>
      </c>
      <c r="AG123" s="463">
        <f t="shared" si="221"/>
        <v>2.3021828103683497E-2</v>
      </c>
      <c r="AI123" s="153">
        <f t="shared" si="222"/>
        <v>0.10031569216846434</v>
      </c>
      <c r="AJ123" s="153">
        <f t="shared" si="223"/>
        <v>0.15</v>
      </c>
      <c r="AK123" s="153">
        <f t="shared" si="224"/>
        <v>1.0894510052910054</v>
      </c>
      <c r="AM123" s="317">
        <f t="shared" si="225"/>
        <v>13.000000000000002</v>
      </c>
      <c r="AN123" s="147">
        <f t="shared" si="226"/>
        <v>156.53925925925927</v>
      </c>
      <c r="AP123" s="147">
        <f t="shared" si="227"/>
        <v>13.000000000000002</v>
      </c>
      <c r="AQ123" s="147">
        <f t="shared" si="228"/>
        <v>156.53925925925927</v>
      </c>
      <c r="AS123" s="5">
        <f t="shared" si="175"/>
        <v>6.3881738340399759</v>
      </c>
      <c r="AT123" s="5">
        <f t="shared" si="229"/>
        <v>2.5</v>
      </c>
      <c r="AU123" s="5">
        <f t="shared" si="230"/>
        <v>3.8881738340399759</v>
      </c>
      <c r="AV123" s="5"/>
      <c r="AW123" s="153">
        <f t="shared" si="231"/>
        <v>0.39134814814814817</v>
      </c>
      <c r="AX123" s="153">
        <f t="shared" si="150"/>
        <v>0.26416000000000001</v>
      </c>
      <c r="AY123" s="153">
        <f t="shared" si="151"/>
        <v>4.5648888888888885E-2</v>
      </c>
      <c r="AZ123" s="153">
        <f t="shared" si="178"/>
        <v>5.786778307857074</v>
      </c>
      <c r="BA123" s="147">
        <f t="shared" si="232"/>
        <v>7.5578700647486725</v>
      </c>
      <c r="BB123" s="147">
        <f t="shared" si="233"/>
        <v>1.0029766259259261</v>
      </c>
      <c r="BC123" s="5">
        <f t="shared" si="258"/>
        <v>0.12480557985807331</v>
      </c>
      <c r="BD123" s="147">
        <f t="shared" si="235"/>
        <v>12.576854282103627</v>
      </c>
      <c r="BF123" s="153">
        <f t="shared" si="179"/>
        <v>5.4176665743760122E-2</v>
      </c>
      <c r="BG123" s="153">
        <f t="shared" si="156"/>
        <v>6.7563961465332154E-2</v>
      </c>
      <c r="BI123" s="463">
        <f t="shared" si="236"/>
        <v>1.0272888888888888E-3</v>
      </c>
      <c r="BJ123" s="463">
        <f t="shared" si="237"/>
        <v>3.4422983111111112E-3</v>
      </c>
      <c r="BK123" s="463">
        <f t="shared" si="238"/>
        <v>1.9567407407407407E-3</v>
      </c>
      <c r="BL123" s="463">
        <f t="shared" si="239"/>
        <v>6.7285457654518528E-3</v>
      </c>
      <c r="BM123">
        <f t="shared" si="240"/>
        <v>2.6099999999999999E-3</v>
      </c>
      <c r="BN123">
        <f t="shared" si="241"/>
        <v>1.5653925925925926E-6</v>
      </c>
      <c r="BO123" s="463">
        <f t="shared" si="242"/>
        <v>1.5908138244585743E-2</v>
      </c>
      <c r="BP123" s="147">
        <f t="shared" si="243"/>
        <v>15.764873706192592</v>
      </c>
      <c r="BQ123" s="463">
        <f t="shared" si="244"/>
        <v>8.4535751111111113E-3</v>
      </c>
      <c r="BT123" s="147">
        <f t="shared" si="245"/>
        <v>8.4535751111111104</v>
      </c>
      <c r="BU123" s="463">
        <f t="shared" si="246"/>
        <v>2.3480888888888895E-3</v>
      </c>
      <c r="BV123" s="463">
        <f t="shared" si="247"/>
        <v>3.6336515555555554E-3</v>
      </c>
      <c r="BW123" s="463">
        <f t="shared" si="248"/>
        <v>0</v>
      </c>
      <c r="BX123" s="463"/>
      <c r="BY123" s="463">
        <f t="shared" si="249"/>
        <v>5.2832000000000009E-3</v>
      </c>
      <c r="BZ123" s="147">
        <f t="shared" si="250"/>
        <v>11.264940444444445</v>
      </c>
      <c r="CA123" s="153">
        <f t="shared" si="251"/>
        <v>3.5483389261748148E-2</v>
      </c>
      <c r="CB123" s="5">
        <f t="shared" si="252"/>
        <v>0.26</v>
      </c>
      <c r="CC123" s="153">
        <f t="shared" si="253"/>
        <v>0.87991409821580224</v>
      </c>
      <c r="CD123" s="5">
        <f t="shared" si="254"/>
        <v>87.99140982158022</v>
      </c>
      <c r="CG123" s="59">
        <f t="shared" si="255"/>
        <v>-50</v>
      </c>
      <c r="CH123">
        <f t="shared" si="256"/>
        <v>-50</v>
      </c>
    </row>
    <row r="124" spans="5:86" x14ac:dyDescent="0.25">
      <c r="E124" s="150">
        <v>14</v>
      </c>
      <c r="F124" s="191">
        <f t="shared" si="257"/>
        <v>1.4000000000000002E-2</v>
      </c>
      <c r="G124" s="191"/>
      <c r="H124" s="191">
        <f t="shared" si="201"/>
        <v>0.28000000000000003</v>
      </c>
      <c r="I124" s="472">
        <f t="shared" si="202"/>
        <v>9</v>
      </c>
      <c r="J124" s="386">
        <f t="shared" si="203"/>
        <v>20.32</v>
      </c>
      <c r="K124" s="386">
        <f t="shared" si="204"/>
        <v>29.32</v>
      </c>
      <c r="L124" s="386"/>
      <c r="M124" s="191">
        <f t="shared" si="205"/>
        <v>0.69304229195088674</v>
      </c>
      <c r="N124" s="152">
        <f t="shared" si="206"/>
        <v>2.1101682401091408</v>
      </c>
      <c r="O124" s="152">
        <f t="shared" si="173"/>
        <v>0.28000000000000003</v>
      </c>
      <c r="P124" s="191">
        <f t="shared" si="207"/>
        <v>0.10550841200545705</v>
      </c>
      <c r="Q124" s="191">
        <f t="shared" si="208"/>
        <v>20</v>
      </c>
      <c r="R124" s="191"/>
      <c r="S124" s="152">
        <f t="shared" si="209"/>
        <v>207.97811205179605</v>
      </c>
      <c r="T124" s="152">
        <f t="shared" si="210"/>
        <v>20</v>
      </c>
      <c r="U124" s="191">
        <f t="shared" si="211"/>
        <v>9.9756974822591632E-2</v>
      </c>
      <c r="V124" s="191">
        <f t="shared" si="212"/>
        <v>1.6626162470431938</v>
      </c>
      <c r="W124" s="191">
        <f t="shared" si="213"/>
        <v>0.73639499130850117</v>
      </c>
      <c r="X124" s="175">
        <f t="shared" si="214"/>
        <v>277.21691678035478</v>
      </c>
      <c r="Y124" s="386">
        <f t="shared" si="215"/>
        <v>350</v>
      </c>
      <c r="AA124" s="191">
        <f t="shared" si="216"/>
        <v>0.14999999999999997</v>
      </c>
      <c r="AB124" s="153">
        <f t="shared" si="217"/>
        <v>1.1072834645669287</v>
      </c>
      <c r="AC124" s="153">
        <f t="shared" si="218"/>
        <v>2.3021828103683487E-2</v>
      </c>
      <c r="AD124" s="153"/>
      <c r="AE124" s="153">
        <f t="shared" si="219"/>
        <v>1.1072834645669289</v>
      </c>
      <c r="AF124" s="317">
        <f t="shared" si="220"/>
        <v>168.58074074074079</v>
      </c>
      <c r="AG124" s="463">
        <f t="shared" si="221"/>
        <v>2.3021828103683497E-2</v>
      </c>
      <c r="AI124" s="153">
        <f t="shared" si="222"/>
        <v>0.10410251357836339</v>
      </c>
      <c r="AJ124" s="153">
        <f t="shared" si="223"/>
        <v>0.15</v>
      </c>
      <c r="AK124" s="153">
        <f t="shared" si="224"/>
        <v>1.0963318518518519</v>
      </c>
      <c r="AM124" s="317">
        <f t="shared" si="225"/>
        <v>14.000000000000002</v>
      </c>
      <c r="AN124" s="147">
        <f t="shared" si="226"/>
        <v>168.58074074074079</v>
      </c>
      <c r="AP124" s="147">
        <f t="shared" si="227"/>
        <v>14.000000000000002</v>
      </c>
      <c r="AQ124" s="147">
        <f t="shared" si="228"/>
        <v>168.58074074074079</v>
      </c>
      <c r="AS124" s="5">
        <f t="shared" si="175"/>
        <v>5.931875703037119</v>
      </c>
      <c r="AT124" s="5">
        <f t="shared" si="229"/>
        <v>2.5</v>
      </c>
      <c r="AU124" s="5">
        <f t="shared" si="230"/>
        <v>3.431875703037119</v>
      </c>
      <c r="AV124" s="5"/>
      <c r="AW124" s="153">
        <f t="shared" si="231"/>
        <v>0.42145185185185197</v>
      </c>
      <c r="AX124" s="153">
        <f t="shared" si="150"/>
        <v>0.28448000000000007</v>
      </c>
      <c r="AY124" s="153">
        <f t="shared" si="151"/>
        <v>4.3391111111111103E-2</v>
      </c>
      <c r="AZ124" s="153">
        <f t="shared" si="178"/>
        <v>6.5561815015876297</v>
      </c>
      <c r="BA124" s="147">
        <f t="shared" si="232"/>
        <v>7.5578700647486725</v>
      </c>
      <c r="BB124" s="147">
        <f t="shared" si="233"/>
        <v>1.1599847259259262</v>
      </c>
      <c r="BC124" s="5">
        <f t="shared" si="258"/>
        <v>0.11863274035190043</v>
      </c>
      <c r="BD124" s="147">
        <f t="shared" si="235"/>
        <v>11.966977738893744</v>
      </c>
      <c r="BF124" s="153">
        <f t="shared" si="179"/>
        <v>5.6221783046154716E-2</v>
      </c>
      <c r="BG124" s="153">
        <f t="shared" si="156"/>
        <v>6.5871929614298608E-2</v>
      </c>
      <c r="BI124" s="463">
        <f t="shared" si="236"/>
        <v>1.1063111111111114E-3</v>
      </c>
      <c r="BJ124" s="463">
        <f t="shared" si="237"/>
        <v>3.7070904888888896E-3</v>
      </c>
      <c r="BK124" s="463">
        <f t="shared" si="238"/>
        <v>2.1072592592592597E-3</v>
      </c>
      <c r="BL124" s="463">
        <f t="shared" si="239"/>
        <v>7.2461262089481516E-3</v>
      </c>
      <c r="BM124">
        <f t="shared" si="240"/>
        <v>2.6099999999999999E-3</v>
      </c>
      <c r="BN124">
        <f t="shared" si="241"/>
        <v>1.6858074074074079E-6</v>
      </c>
      <c r="BO124" s="463">
        <f t="shared" si="242"/>
        <v>1.6931280793835282E-2</v>
      </c>
      <c r="BP124" s="147">
        <f t="shared" si="243"/>
        <v>16.776787068207412</v>
      </c>
      <c r="BQ124" s="463">
        <f t="shared" si="244"/>
        <v>8.6630808888888897E-3</v>
      </c>
      <c r="BT124" s="147">
        <f t="shared" si="245"/>
        <v>8.6630808888888904</v>
      </c>
      <c r="BU124" s="463">
        <f t="shared" si="246"/>
        <v>2.528711111111112E-3</v>
      </c>
      <c r="BV124" s="463">
        <f t="shared" si="247"/>
        <v>3.4539324444444433E-3</v>
      </c>
      <c r="BW124" s="463">
        <f t="shared" si="248"/>
        <v>0</v>
      </c>
      <c r="BX124" s="463"/>
      <c r="BY124" s="463">
        <f t="shared" si="249"/>
        <v>5.6896000000000021E-3</v>
      </c>
      <c r="BZ124" s="147">
        <f t="shared" si="250"/>
        <v>11.672243555555559</v>
      </c>
      <c r="CA124" s="153">
        <f t="shared" si="251"/>
        <v>3.7112111512651862E-2</v>
      </c>
      <c r="CB124" s="5">
        <f t="shared" si="252"/>
        <v>0.28000000000000003</v>
      </c>
      <c r="CC124" s="153">
        <f t="shared" si="253"/>
        <v>0.8829684828636033</v>
      </c>
      <c r="CD124" s="5">
        <f t="shared" si="254"/>
        <v>88.29684828636033</v>
      </c>
      <c r="CG124" s="59">
        <f t="shared" si="255"/>
        <v>-50</v>
      </c>
      <c r="CH124">
        <f t="shared" si="256"/>
        <v>-50</v>
      </c>
    </row>
    <row r="125" spans="5:86" x14ac:dyDescent="0.25">
      <c r="E125" s="150">
        <v>15</v>
      </c>
      <c r="F125" s="191">
        <f t="shared" si="257"/>
        <v>1.4999999999999999E-2</v>
      </c>
      <c r="G125" s="191"/>
      <c r="H125" s="191">
        <f t="shared" si="201"/>
        <v>0.3</v>
      </c>
      <c r="I125" s="472">
        <f t="shared" si="202"/>
        <v>9</v>
      </c>
      <c r="J125" s="386">
        <f t="shared" si="203"/>
        <v>20.32</v>
      </c>
      <c r="K125" s="386">
        <f t="shared" si="204"/>
        <v>29.32</v>
      </c>
      <c r="L125" s="386"/>
      <c r="M125" s="191">
        <f t="shared" si="205"/>
        <v>0.69304229195088674</v>
      </c>
      <c r="N125" s="152">
        <f t="shared" si="206"/>
        <v>2.1101682401091408</v>
      </c>
      <c r="O125" s="152">
        <f t="shared" si="173"/>
        <v>0.3</v>
      </c>
      <c r="P125" s="191">
        <f t="shared" si="207"/>
        <v>0.10550841200545705</v>
      </c>
      <c r="Q125" s="191">
        <f t="shared" si="208"/>
        <v>20</v>
      </c>
      <c r="R125" s="191"/>
      <c r="S125" s="152">
        <f t="shared" si="209"/>
        <v>193.51485800866567</v>
      </c>
      <c r="T125" s="152">
        <f t="shared" si="210"/>
        <v>20</v>
      </c>
      <c r="U125" s="191">
        <f t="shared" si="211"/>
        <v>0.10688247302420531</v>
      </c>
      <c r="V125" s="191">
        <f t="shared" si="212"/>
        <v>1.7813745504034215</v>
      </c>
      <c r="W125" s="191">
        <f t="shared" si="213"/>
        <v>0.78899463354482247</v>
      </c>
      <c r="X125" s="175">
        <f t="shared" si="214"/>
        <v>277.21691678035478</v>
      </c>
      <c r="Y125" s="386">
        <f t="shared" si="215"/>
        <v>350</v>
      </c>
      <c r="AA125" s="191">
        <f t="shared" si="216"/>
        <v>0.14999999999999997</v>
      </c>
      <c r="AB125" s="153">
        <f t="shared" si="217"/>
        <v>1.1072834645669287</v>
      </c>
      <c r="AC125" s="153">
        <f t="shared" si="218"/>
        <v>2.3021828103683487E-2</v>
      </c>
      <c r="AD125" s="153"/>
      <c r="AE125" s="153">
        <f t="shared" si="219"/>
        <v>1.1072834645669289</v>
      </c>
      <c r="AF125" s="317">
        <f t="shared" si="220"/>
        <v>180.62222222222221</v>
      </c>
      <c r="AG125" s="463">
        <f t="shared" si="221"/>
        <v>2.3021828103683497E-2</v>
      </c>
      <c r="AI125" s="153">
        <f t="shared" si="222"/>
        <v>0.10775633889209754</v>
      </c>
      <c r="AJ125" s="153">
        <f t="shared" si="223"/>
        <v>0.15</v>
      </c>
      <c r="AK125" s="153">
        <f t="shared" si="224"/>
        <v>1.1032126984126984</v>
      </c>
      <c r="AM125" s="317">
        <f t="shared" si="225"/>
        <v>15</v>
      </c>
      <c r="AN125" s="147">
        <f t="shared" si="226"/>
        <v>180.62222222222221</v>
      </c>
      <c r="AP125" s="147">
        <f t="shared" si="227"/>
        <v>15</v>
      </c>
      <c r="AQ125" s="147">
        <f t="shared" si="228"/>
        <v>180.62222222222221</v>
      </c>
      <c r="AS125" s="5">
        <f t="shared" si="175"/>
        <v>5.5364173228346463</v>
      </c>
      <c r="AT125" s="5">
        <f t="shared" si="229"/>
        <v>2.5</v>
      </c>
      <c r="AU125" s="5">
        <f t="shared" si="230"/>
        <v>3.0364173228346463</v>
      </c>
      <c r="AV125" s="5"/>
      <c r="AW125" s="153">
        <f t="shared" si="231"/>
        <v>0.45155555555555549</v>
      </c>
      <c r="AX125" s="153">
        <f t="shared" si="150"/>
        <v>0.3047999999999999</v>
      </c>
      <c r="AY125" s="153">
        <f t="shared" si="151"/>
        <v>4.1133333333333334E-2</v>
      </c>
      <c r="AZ125" s="153">
        <f t="shared" si="178"/>
        <v>7.4100486223662863</v>
      </c>
      <c r="BA125" s="147">
        <f t="shared" si="232"/>
        <v>7.5578700647486725</v>
      </c>
      <c r="BB125" s="147">
        <f t="shared" si="233"/>
        <v>1.3284008333333328</v>
      </c>
      <c r="BC125" s="5">
        <f t="shared" si="258"/>
        <v>0.11245990084572763</v>
      </c>
      <c r="BD125" s="147">
        <f t="shared" si="235"/>
        <v>11.357101195683873</v>
      </c>
      <c r="BF125" s="153">
        <f t="shared" si="179"/>
        <v>5.8195074247453842E-2</v>
      </c>
      <c r="BG125" s="153">
        <f t="shared" si="156"/>
        <v>6.4135273705920468E-2</v>
      </c>
      <c r="BI125" s="463">
        <f t="shared" si="236"/>
        <v>1.1853333333333327E-3</v>
      </c>
      <c r="BJ125" s="463">
        <f t="shared" si="237"/>
        <v>3.9718826666666658E-3</v>
      </c>
      <c r="BK125" s="463">
        <f t="shared" si="238"/>
        <v>2.2577777777777774E-3</v>
      </c>
      <c r="BL125" s="463">
        <f t="shared" si="239"/>
        <v>7.7637066524444461E-3</v>
      </c>
      <c r="BM125">
        <f t="shared" si="240"/>
        <v>2.6099999999999999E-3</v>
      </c>
      <c r="BN125">
        <f t="shared" si="241"/>
        <v>1.8062222222222222E-6</v>
      </c>
      <c r="BO125" s="463">
        <f t="shared" si="242"/>
        <v>1.7954453183628986E-2</v>
      </c>
      <c r="BP125" s="147">
        <f t="shared" si="243"/>
        <v>17.788700430222224</v>
      </c>
      <c r="BQ125" s="463">
        <f t="shared" si="244"/>
        <v>8.8725866666666663E-3</v>
      </c>
      <c r="BT125" s="147">
        <f t="shared" si="245"/>
        <v>8.8725866666666668</v>
      </c>
      <c r="BU125" s="463">
        <f t="shared" si="246"/>
        <v>2.7093333333333327E-3</v>
      </c>
      <c r="BV125" s="463">
        <f t="shared" si="247"/>
        <v>3.2742133333333334E-3</v>
      </c>
      <c r="BW125" s="463">
        <f t="shared" si="248"/>
        <v>0</v>
      </c>
      <c r="BX125" s="463"/>
      <c r="BY125" s="463">
        <f t="shared" si="249"/>
        <v>6.0959999999999999E-3</v>
      </c>
      <c r="BZ125" s="147">
        <f t="shared" si="250"/>
        <v>12.079546666666666</v>
      </c>
      <c r="CA125" s="153">
        <f t="shared" si="251"/>
        <v>3.8740833763555554E-2</v>
      </c>
      <c r="CB125" s="5">
        <f t="shared" si="252"/>
        <v>0.3</v>
      </c>
      <c r="CC125" s="153">
        <f t="shared" si="253"/>
        <v>0.88563282042755709</v>
      </c>
      <c r="CD125" s="5">
        <f t="shared" si="254"/>
        <v>88.563282042755702</v>
      </c>
      <c r="CG125" s="59">
        <f t="shared" si="255"/>
        <v>-50</v>
      </c>
      <c r="CH125">
        <f t="shared" si="256"/>
        <v>-50</v>
      </c>
    </row>
    <row r="126" spans="5:86" x14ac:dyDescent="0.25">
      <c r="E126" s="150">
        <v>16</v>
      </c>
      <c r="F126" s="191">
        <f t="shared" si="257"/>
        <v>1.6E-2</v>
      </c>
      <c r="G126" s="191"/>
      <c r="H126" s="191">
        <f t="shared" si="201"/>
        <v>0.32</v>
      </c>
      <c r="I126" s="472">
        <f t="shared" si="202"/>
        <v>9</v>
      </c>
      <c r="J126" s="386">
        <f t="shared" si="203"/>
        <v>20.32</v>
      </c>
      <c r="K126" s="386">
        <f t="shared" si="204"/>
        <v>29.32</v>
      </c>
      <c r="L126" s="386"/>
      <c r="M126" s="191">
        <f t="shared" si="205"/>
        <v>0.69304229195088674</v>
      </c>
      <c r="N126" s="152">
        <f t="shared" si="206"/>
        <v>2.1101682401091408</v>
      </c>
      <c r="O126" s="152">
        <f t="shared" si="173"/>
        <v>0.32</v>
      </c>
      <c r="P126" s="191">
        <f t="shared" si="207"/>
        <v>0.10550841200545705</v>
      </c>
      <c r="Q126" s="191">
        <f t="shared" si="208"/>
        <v>20</v>
      </c>
      <c r="R126" s="191"/>
      <c r="S126" s="152">
        <f t="shared" si="209"/>
        <v>180.85964582531128</v>
      </c>
      <c r="T126" s="152">
        <f t="shared" si="210"/>
        <v>20</v>
      </c>
      <c r="U126" s="191">
        <f t="shared" si="211"/>
        <v>0.114007971225819</v>
      </c>
      <c r="V126" s="191">
        <f t="shared" si="212"/>
        <v>1.9001328537636497</v>
      </c>
      <c r="W126" s="191">
        <f t="shared" si="213"/>
        <v>0.8415942757811441</v>
      </c>
      <c r="X126" s="175">
        <f t="shared" si="214"/>
        <v>277.21691678035478</v>
      </c>
      <c r="Y126" s="386">
        <f t="shared" si="215"/>
        <v>350</v>
      </c>
      <c r="AA126" s="191">
        <f t="shared" si="216"/>
        <v>0.14999999999999997</v>
      </c>
      <c r="AB126" s="153">
        <f t="shared" si="217"/>
        <v>1.1072834645669287</v>
      </c>
      <c r="AC126" s="153">
        <f t="shared" si="218"/>
        <v>2.3021828103683487E-2</v>
      </c>
      <c r="AD126" s="153"/>
      <c r="AE126" s="153">
        <f t="shared" si="219"/>
        <v>1.1072834645669289</v>
      </c>
      <c r="AF126" s="317">
        <f t="shared" si="220"/>
        <v>192.6637037037037</v>
      </c>
      <c r="AG126" s="463">
        <f t="shared" si="221"/>
        <v>2.3021828103683497E-2</v>
      </c>
      <c r="AI126" s="153">
        <f t="shared" si="222"/>
        <v>0.11129026826063369</v>
      </c>
      <c r="AJ126" s="153">
        <f t="shared" si="223"/>
        <v>0.15</v>
      </c>
      <c r="AK126" s="153">
        <f t="shared" si="224"/>
        <v>1.110093544973545</v>
      </c>
      <c r="AM126" s="317">
        <f t="shared" si="225"/>
        <v>16</v>
      </c>
      <c r="AN126" s="147">
        <f t="shared" si="226"/>
        <v>192.6637037037037</v>
      </c>
      <c r="AP126" s="147">
        <f t="shared" si="227"/>
        <v>16</v>
      </c>
      <c r="AQ126" s="147">
        <f t="shared" si="228"/>
        <v>192.6637037037037</v>
      </c>
      <c r="AS126" s="5">
        <f t="shared" si="175"/>
        <v>5.1903912401574805</v>
      </c>
      <c r="AT126" s="5">
        <f t="shared" si="229"/>
        <v>2.5</v>
      </c>
      <c r="AU126" s="5">
        <f t="shared" si="230"/>
        <v>2.6903912401574805</v>
      </c>
      <c r="AV126" s="5"/>
      <c r="AW126" s="153">
        <f t="shared" si="231"/>
        <v>0.48165925925925923</v>
      </c>
      <c r="AX126" s="153">
        <f t="shared" si="150"/>
        <v>0.32511999999999991</v>
      </c>
      <c r="AY126" s="153">
        <f t="shared" si="151"/>
        <v>3.8875555555555559E-2</v>
      </c>
      <c r="AZ126" s="153">
        <f t="shared" si="178"/>
        <v>8.3630959186006599</v>
      </c>
      <c r="BA126" s="147">
        <f t="shared" si="232"/>
        <v>7.5578700647486725</v>
      </c>
      <c r="BB126" s="147">
        <f t="shared" si="233"/>
        <v>1.5082249481481476</v>
      </c>
      <c r="BC126" s="5">
        <f t="shared" si="258"/>
        <v>0.10628706133955479</v>
      </c>
      <c r="BD126" s="147">
        <f t="shared" si="235"/>
        <v>10.747224652473996</v>
      </c>
      <c r="BF126" s="153">
        <f t="shared" si="179"/>
        <v>6.0103614237784771E-2</v>
      </c>
      <c r="BG126" s="153">
        <f t="shared" si="156"/>
        <v>6.2350265080074484E-2</v>
      </c>
      <c r="BI126" s="463">
        <f t="shared" si="236"/>
        <v>1.2643555555555553E-3</v>
      </c>
      <c r="BJ126" s="463">
        <f t="shared" si="237"/>
        <v>4.2366748444444442E-3</v>
      </c>
      <c r="BK126" s="463">
        <f t="shared" si="238"/>
        <v>2.4082962962962964E-3</v>
      </c>
      <c r="BL126" s="463">
        <f t="shared" si="239"/>
        <v>8.2812870959407432E-3</v>
      </c>
      <c r="BM126">
        <f t="shared" si="240"/>
        <v>2.6099999999999999E-3</v>
      </c>
      <c r="BN126">
        <f t="shared" si="241"/>
        <v>1.9266370370370373E-6</v>
      </c>
      <c r="BO126" s="463">
        <f t="shared" si="242"/>
        <v>1.8977655415272361E-2</v>
      </c>
      <c r="BP126" s="147">
        <f t="shared" si="243"/>
        <v>18.800613792237041</v>
      </c>
      <c r="BQ126" s="463">
        <f t="shared" si="244"/>
        <v>9.0820924444444447E-3</v>
      </c>
      <c r="BT126" s="147">
        <f t="shared" si="245"/>
        <v>9.0820924444444451</v>
      </c>
      <c r="BU126" s="463">
        <f t="shared" si="246"/>
        <v>2.8899555555555556E-3</v>
      </c>
      <c r="BV126" s="463">
        <f t="shared" si="247"/>
        <v>3.0944942222222225E-3</v>
      </c>
      <c r="BW126" s="463">
        <f t="shared" si="248"/>
        <v>0</v>
      </c>
      <c r="BX126" s="463"/>
      <c r="BY126" s="463">
        <f t="shared" si="249"/>
        <v>6.5024000000000002E-3</v>
      </c>
      <c r="BZ126" s="147">
        <f t="shared" si="250"/>
        <v>12.486849777777778</v>
      </c>
      <c r="CA126" s="153">
        <f t="shared" si="251"/>
        <v>4.0369556014459261E-2</v>
      </c>
      <c r="CB126" s="5">
        <f t="shared" si="252"/>
        <v>0.32</v>
      </c>
      <c r="CC126" s="153">
        <f t="shared" si="253"/>
        <v>0.88797734064738953</v>
      </c>
      <c r="CD126" s="5">
        <f t="shared" si="254"/>
        <v>88.797734064738947</v>
      </c>
      <c r="CG126" s="59">
        <f t="shared" si="255"/>
        <v>-50</v>
      </c>
      <c r="CH126">
        <f t="shared" si="256"/>
        <v>-50</v>
      </c>
    </row>
    <row r="127" spans="5:86" x14ac:dyDescent="0.25">
      <c r="E127" s="150">
        <v>17</v>
      </c>
      <c r="F127" s="191">
        <f t="shared" si="257"/>
        <v>1.7000000000000001E-2</v>
      </c>
      <c r="G127" s="191"/>
      <c r="H127" s="191">
        <f t="shared" si="201"/>
        <v>0.34</v>
      </c>
      <c r="I127" s="472">
        <f t="shared" si="202"/>
        <v>9</v>
      </c>
      <c r="J127" s="386">
        <f t="shared" si="203"/>
        <v>20.32</v>
      </c>
      <c r="K127" s="386">
        <f t="shared" si="204"/>
        <v>29.32</v>
      </c>
      <c r="L127" s="386"/>
      <c r="M127" s="191">
        <f t="shared" si="205"/>
        <v>0.69304229195088674</v>
      </c>
      <c r="N127" s="152">
        <f t="shared" si="206"/>
        <v>2.1101682401091408</v>
      </c>
      <c r="O127" s="152">
        <f t="shared" si="173"/>
        <v>0.34</v>
      </c>
      <c r="P127" s="191">
        <f t="shared" si="207"/>
        <v>0.10550841200545705</v>
      </c>
      <c r="Q127" s="191">
        <f t="shared" si="208"/>
        <v>20</v>
      </c>
      <c r="R127" s="191"/>
      <c r="S127" s="152">
        <f t="shared" si="209"/>
        <v>169.69341042840875</v>
      </c>
      <c r="T127" s="152">
        <f t="shared" si="210"/>
        <v>20</v>
      </c>
      <c r="U127" s="191">
        <f t="shared" si="211"/>
        <v>0.12113346942743269</v>
      </c>
      <c r="V127" s="191">
        <f t="shared" si="212"/>
        <v>2.0188911571238779</v>
      </c>
      <c r="W127" s="191">
        <f t="shared" si="213"/>
        <v>0.89419391801746562</v>
      </c>
      <c r="X127" s="175">
        <f t="shared" si="214"/>
        <v>277.21691678035478</v>
      </c>
      <c r="Y127" s="386">
        <f t="shared" si="215"/>
        <v>343.278680232667</v>
      </c>
      <c r="AA127" s="191">
        <f t="shared" si="216"/>
        <v>0.14999999999999997</v>
      </c>
      <c r="AB127" s="153">
        <f t="shared" si="217"/>
        <v>1.1072834645669287</v>
      </c>
      <c r="AC127" s="153">
        <f t="shared" si="218"/>
        <v>2.3021828103683487E-2</v>
      </c>
      <c r="AD127" s="153"/>
      <c r="AE127" s="153">
        <f t="shared" si="219"/>
        <v>1.1072834645669289</v>
      </c>
      <c r="AF127" s="317">
        <f t="shared" si="220"/>
        <v>204.70518518518523</v>
      </c>
      <c r="AG127" s="463">
        <f t="shared" si="221"/>
        <v>2.3021828103683497E-2</v>
      </c>
      <c r="AI127" s="153">
        <f t="shared" si="222"/>
        <v>0.11471538278547934</v>
      </c>
      <c r="AJ127" s="153">
        <f t="shared" si="223"/>
        <v>0.15</v>
      </c>
      <c r="AK127" s="153">
        <f t="shared" si="224"/>
        <v>1.1169743915343915</v>
      </c>
      <c r="AM127" s="317">
        <f t="shared" si="225"/>
        <v>17</v>
      </c>
      <c r="AN127" s="147">
        <f t="shared" si="226"/>
        <v>204.70518518518523</v>
      </c>
      <c r="AP127" s="147">
        <f t="shared" si="227"/>
        <v>17</v>
      </c>
      <c r="AQ127" s="147">
        <f t="shared" si="228"/>
        <v>204.70518518518523</v>
      </c>
      <c r="AS127" s="5">
        <f t="shared" si="175"/>
        <v>4.8850741083835105</v>
      </c>
      <c r="AT127" s="5">
        <f t="shared" si="229"/>
        <v>2.5</v>
      </c>
      <c r="AU127" s="5">
        <f t="shared" si="230"/>
        <v>2.3850741083835105</v>
      </c>
      <c r="AV127" s="5"/>
      <c r="AW127" s="153">
        <f t="shared" si="231"/>
        <v>0.51176296296296298</v>
      </c>
      <c r="AX127" s="153">
        <f t="shared" si="150"/>
        <v>0.34544000000000002</v>
      </c>
      <c r="AY127" s="153">
        <f t="shared" si="151"/>
        <v>3.6617777777777777E-2</v>
      </c>
      <c r="AZ127" s="153">
        <f t="shared" si="178"/>
        <v>9.4336691346037149</v>
      </c>
      <c r="BA127" s="147">
        <f t="shared" si="232"/>
        <v>7.5578700647486725</v>
      </c>
      <c r="BB127" s="147">
        <f t="shared" si="233"/>
        <v>1.6994570703703702</v>
      </c>
      <c r="BC127" s="5">
        <f t="shared" si="258"/>
        <v>0.10011422183338192</v>
      </c>
      <c r="BD127" s="147">
        <f t="shared" si="235"/>
        <v>10.137348109264117</v>
      </c>
      <c r="BF127" s="153">
        <f t="shared" si="179"/>
        <v>6.1953387495941023E-2</v>
      </c>
      <c r="BG127" s="153">
        <f t="shared" si="156"/>
        <v>6.0512624945359771E-2</v>
      </c>
      <c r="BI127" s="463">
        <f t="shared" si="236"/>
        <v>1.3433777777777775E-3</v>
      </c>
      <c r="BJ127" s="463">
        <f t="shared" si="237"/>
        <v>4.5014670222222226E-3</v>
      </c>
      <c r="BK127" s="463">
        <f t="shared" si="238"/>
        <v>2.5588148148148154E-3</v>
      </c>
      <c r="BL127" s="463">
        <f t="shared" si="239"/>
        <v>8.7988675394370403E-3</v>
      </c>
      <c r="BM127">
        <f t="shared" si="240"/>
        <v>2.6099999999999999E-3</v>
      </c>
      <c r="BN127">
        <f t="shared" si="241"/>
        <v>2.0470518518518523E-6</v>
      </c>
      <c r="BO127" s="463">
        <f t="shared" si="242"/>
        <v>2.0000887490070958E-2</v>
      </c>
      <c r="BP127" s="147">
        <f t="shared" si="243"/>
        <v>19.812527154251857</v>
      </c>
      <c r="BQ127" s="463">
        <f t="shared" si="244"/>
        <v>9.2915982222222231E-3</v>
      </c>
      <c r="BT127" s="147">
        <f t="shared" si="245"/>
        <v>9.2915982222222233</v>
      </c>
      <c r="BU127" s="463">
        <f t="shared" si="246"/>
        <v>3.0705777777777776E-3</v>
      </c>
      <c r="BV127" s="463">
        <f t="shared" si="247"/>
        <v>2.9147751111111113E-3</v>
      </c>
      <c r="BW127" s="463">
        <f t="shared" si="248"/>
        <v>0</v>
      </c>
      <c r="BX127" s="463"/>
      <c r="BY127" s="463">
        <f t="shared" si="249"/>
        <v>6.9088000000000014E-3</v>
      </c>
      <c r="BZ127" s="147">
        <f t="shared" si="250"/>
        <v>12.89415288888889</v>
      </c>
      <c r="CA127" s="153">
        <f t="shared" si="251"/>
        <v>4.1998278265362975E-2</v>
      </c>
      <c r="CB127" s="5">
        <f t="shared" si="252"/>
        <v>0.34</v>
      </c>
      <c r="CC127" s="153">
        <f t="shared" si="253"/>
        <v>0.89005636764627516</v>
      </c>
      <c r="CD127" s="5">
        <f t="shared" si="254"/>
        <v>89.005636764627511</v>
      </c>
      <c r="CG127" s="59">
        <f t="shared" si="255"/>
        <v>-50</v>
      </c>
      <c r="CH127">
        <f t="shared" si="256"/>
        <v>-50</v>
      </c>
    </row>
    <row r="128" spans="5:86" x14ac:dyDescent="0.25">
      <c r="E128" s="150">
        <v>18</v>
      </c>
      <c r="F128" s="191">
        <f t="shared" si="257"/>
        <v>1.7999999999999999E-2</v>
      </c>
      <c r="G128" s="191"/>
      <c r="H128" s="191">
        <f t="shared" si="201"/>
        <v>0.36</v>
      </c>
      <c r="I128" s="472">
        <f t="shared" si="202"/>
        <v>9</v>
      </c>
      <c r="J128" s="386">
        <f t="shared" si="203"/>
        <v>20.32</v>
      </c>
      <c r="K128" s="386">
        <f t="shared" si="204"/>
        <v>29.32</v>
      </c>
      <c r="L128" s="386"/>
      <c r="M128" s="191">
        <f t="shared" si="205"/>
        <v>0.69304229195088674</v>
      </c>
      <c r="N128" s="152">
        <f t="shared" si="206"/>
        <v>2.1101682401091408</v>
      </c>
      <c r="O128" s="152">
        <f t="shared" si="173"/>
        <v>0.36</v>
      </c>
      <c r="P128" s="191">
        <f t="shared" si="207"/>
        <v>0.10550841200545705</v>
      </c>
      <c r="Q128" s="191">
        <f t="shared" si="208"/>
        <v>20</v>
      </c>
      <c r="R128" s="191"/>
      <c r="S128" s="152">
        <f t="shared" si="209"/>
        <v>159.76799010655384</v>
      </c>
      <c r="T128" s="152">
        <f t="shared" si="210"/>
        <v>20</v>
      </c>
      <c r="U128" s="191">
        <f t="shared" si="211"/>
        <v>0.12825896762904637</v>
      </c>
      <c r="V128" s="191">
        <f t="shared" si="212"/>
        <v>2.1376494604841061</v>
      </c>
      <c r="W128" s="191">
        <f t="shared" si="213"/>
        <v>0.94679356025378703</v>
      </c>
      <c r="X128" s="175">
        <f t="shared" si="214"/>
        <v>277.21691678035478</v>
      </c>
      <c r="Y128" s="386">
        <f t="shared" si="215"/>
        <v>324.20764244196334</v>
      </c>
      <c r="AA128" s="191">
        <f t="shared" si="216"/>
        <v>0.14999999999999997</v>
      </c>
      <c r="AB128" s="153">
        <f t="shared" si="217"/>
        <v>1.1072834645669287</v>
      </c>
      <c r="AC128" s="153">
        <f t="shared" si="218"/>
        <v>2.3021828103683487E-2</v>
      </c>
      <c r="AD128" s="153"/>
      <c r="AE128" s="153">
        <f t="shared" si="219"/>
        <v>1.1072834645669289</v>
      </c>
      <c r="AF128" s="317">
        <f t="shared" si="220"/>
        <v>216.74666666666667</v>
      </c>
      <c r="AG128" s="463">
        <f t="shared" si="221"/>
        <v>2.3021828103683497E-2</v>
      </c>
      <c r="AI128" s="153">
        <f t="shared" si="222"/>
        <v>0.11804115505074612</v>
      </c>
      <c r="AJ128" s="153">
        <f t="shared" si="223"/>
        <v>0.15</v>
      </c>
      <c r="AK128" s="153">
        <f t="shared" si="224"/>
        <v>1.123855238095238</v>
      </c>
      <c r="AM128" s="317">
        <f t="shared" si="225"/>
        <v>18</v>
      </c>
      <c r="AN128" s="147">
        <f t="shared" si="226"/>
        <v>216.74666666666667</v>
      </c>
      <c r="AP128" s="147">
        <f t="shared" si="227"/>
        <v>18</v>
      </c>
      <c r="AQ128" s="147">
        <f t="shared" si="228"/>
        <v>216.74666666666667</v>
      </c>
      <c r="AS128" s="5">
        <f t="shared" si="175"/>
        <v>4.6136811023622046</v>
      </c>
      <c r="AT128" s="5">
        <f t="shared" si="229"/>
        <v>2.5</v>
      </c>
      <c r="AU128" s="5">
        <f t="shared" si="230"/>
        <v>2.1136811023622046</v>
      </c>
      <c r="AV128" s="5"/>
      <c r="AW128" s="153">
        <f t="shared" si="231"/>
        <v>0.54186666666666672</v>
      </c>
      <c r="AX128" s="153">
        <f t="shared" si="150"/>
        <v>0.36575999999999997</v>
      </c>
      <c r="AY128" s="153">
        <f t="shared" si="151"/>
        <v>3.4359999999999995E-2</v>
      </c>
      <c r="AZ128" s="153">
        <f t="shared" si="178"/>
        <v>10.644935972060537</v>
      </c>
      <c r="BA128" s="147">
        <f t="shared" si="232"/>
        <v>7.5578700647486725</v>
      </c>
      <c r="BB128" s="147">
        <f t="shared" si="233"/>
        <v>1.9020971999999994</v>
      </c>
      <c r="BC128" s="5">
        <f t="shared" si="258"/>
        <v>9.3941382327209083E-2</v>
      </c>
      <c r="BD128" s="147">
        <f t="shared" si="235"/>
        <v>9.5274715660542419</v>
      </c>
      <c r="BF128" s="153">
        <f t="shared" si="179"/>
        <v>6.3749509802036905E-2</v>
      </c>
      <c r="BG128" s="153">
        <f t="shared" si="156"/>
        <v>5.8617403559011377E-2</v>
      </c>
      <c r="BI128" s="463">
        <f t="shared" si="236"/>
        <v>1.4223999999999997E-3</v>
      </c>
      <c r="BJ128" s="463">
        <f t="shared" si="237"/>
        <v>4.7662591999999993E-3</v>
      </c>
      <c r="BK128" s="463">
        <f t="shared" si="238"/>
        <v>2.7093333333333336E-3</v>
      </c>
      <c r="BL128" s="463">
        <f t="shared" si="239"/>
        <v>9.3164479829333357E-3</v>
      </c>
      <c r="BM128">
        <f t="shared" si="240"/>
        <v>2.6099999999999999E-3</v>
      </c>
      <c r="BN128">
        <f t="shared" si="241"/>
        <v>2.1674666666666666E-6</v>
      </c>
      <c r="BO128" s="463">
        <f t="shared" si="242"/>
        <v>2.1024149409330447E-2</v>
      </c>
      <c r="BP128" s="147">
        <f t="shared" si="243"/>
        <v>20.824440516266669</v>
      </c>
      <c r="BQ128" s="463">
        <f t="shared" si="244"/>
        <v>9.5011039999999998E-3</v>
      </c>
      <c r="BT128" s="147">
        <f t="shared" si="245"/>
        <v>9.5011039999999998</v>
      </c>
      <c r="BU128" s="463">
        <f t="shared" si="246"/>
        <v>3.2511999999999992E-3</v>
      </c>
      <c r="BV128" s="463">
        <f t="shared" si="247"/>
        <v>2.735056E-3</v>
      </c>
      <c r="BW128" s="463">
        <f t="shared" si="248"/>
        <v>0</v>
      </c>
      <c r="BX128" s="463"/>
      <c r="BY128" s="463">
        <f t="shared" si="249"/>
        <v>7.3152000000000009E-3</v>
      </c>
      <c r="BZ128" s="147">
        <f t="shared" si="250"/>
        <v>13.301456</v>
      </c>
      <c r="CA128" s="153">
        <f t="shared" si="251"/>
        <v>4.3627000516266667E-2</v>
      </c>
      <c r="CB128" s="5">
        <f t="shared" si="252"/>
        <v>0.36</v>
      </c>
      <c r="CC128" s="153">
        <f t="shared" si="253"/>
        <v>0.89191258151594233</v>
      </c>
      <c r="CD128" s="5">
        <f t="shared" si="254"/>
        <v>89.191258151594226</v>
      </c>
      <c r="CG128" s="59">
        <f t="shared" si="255"/>
        <v>-50</v>
      </c>
      <c r="CH128">
        <f t="shared" si="256"/>
        <v>-50</v>
      </c>
    </row>
    <row r="129" spans="5:86" x14ac:dyDescent="0.25">
      <c r="E129" s="150">
        <v>19</v>
      </c>
      <c r="F129" s="191">
        <f t="shared" si="257"/>
        <v>1.9000000000000003E-2</v>
      </c>
      <c r="G129" s="191"/>
      <c r="H129" s="191">
        <f t="shared" si="201"/>
        <v>0.38000000000000006</v>
      </c>
      <c r="I129" s="472">
        <f t="shared" si="202"/>
        <v>9</v>
      </c>
      <c r="J129" s="386">
        <f t="shared" si="203"/>
        <v>20.32</v>
      </c>
      <c r="K129" s="386">
        <f t="shared" si="204"/>
        <v>29.32</v>
      </c>
      <c r="L129" s="386"/>
      <c r="M129" s="191">
        <f t="shared" si="205"/>
        <v>0.69304229195088674</v>
      </c>
      <c r="N129" s="152">
        <f t="shared" si="206"/>
        <v>2.1101682401091408</v>
      </c>
      <c r="O129" s="152">
        <f t="shared" si="173"/>
        <v>0.38000000000000006</v>
      </c>
      <c r="P129" s="191">
        <f t="shared" si="207"/>
        <v>0.10550841200545705</v>
      </c>
      <c r="Q129" s="191">
        <f t="shared" si="208"/>
        <v>20</v>
      </c>
      <c r="R129" s="191"/>
      <c r="S129" s="152">
        <f t="shared" si="209"/>
        <v>150.88746773096838</v>
      </c>
      <c r="T129" s="152">
        <f t="shared" si="210"/>
        <v>20</v>
      </c>
      <c r="U129" s="191">
        <f t="shared" si="211"/>
        <v>0.13538446583066008</v>
      </c>
      <c r="V129" s="191">
        <f t="shared" si="212"/>
        <v>2.2564077638443343</v>
      </c>
      <c r="W129" s="191">
        <f t="shared" si="213"/>
        <v>0.99939320249010877</v>
      </c>
      <c r="X129" s="175">
        <f t="shared" si="214"/>
        <v>277.21691678035478</v>
      </c>
      <c r="Y129" s="386">
        <f t="shared" si="215"/>
        <v>307.14408231343884</v>
      </c>
      <c r="AA129" s="191">
        <f t="shared" si="216"/>
        <v>0.14999999999999997</v>
      </c>
      <c r="AB129" s="153">
        <f t="shared" si="217"/>
        <v>1.1072834645669287</v>
      </c>
      <c r="AC129" s="153">
        <f t="shared" si="218"/>
        <v>2.3021828103683487E-2</v>
      </c>
      <c r="AD129" s="153"/>
      <c r="AE129" s="153">
        <f t="shared" si="219"/>
        <v>1.1072834645669289</v>
      </c>
      <c r="AF129" s="317">
        <f t="shared" si="220"/>
        <v>228.7881481481482</v>
      </c>
      <c r="AG129" s="463">
        <f t="shared" si="221"/>
        <v>2.3021828103683497E-2</v>
      </c>
      <c r="AI129" s="153">
        <f t="shared" si="222"/>
        <v>0.1212757581869086</v>
      </c>
      <c r="AJ129" s="153">
        <f t="shared" si="223"/>
        <v>0.15</v>
      </c>
      <c r="AK129" s="153">
        <f t="shared" si="224"/>
        <v>1.1307360846560848</v>
      </c>
      <c r="AM129" s="317">
        <f t="shared" si="225"/>
        <v>19.000000000000004</v>
      </c>
      <c r="AN129" s="147">
        <f t="shared" si="226"/>
        <v>228.7881481481482</v>
      </c>
      <c r="AP129" s="147">
        <f t="shared" si="227"/>
        <v>19.000000000000004</v>
      </c>
      <c r="AQ129" s="147">
        <f t="shared" si="228"/>
        <v>228.7881481481482</v>
      </c>
      <c r="AS129" s="5">
        <f t="shared" si="175"/>
        <v>4.370855781185246</v>
      </c>
      <c r="AT129" s="5">
        <f t="shared" si="229"/>
        <v>2.5</v>
      </c>
      <c r="AU129" s="5">
        <f t="shared" si="230"/>
        <v>1.870855781185246</v>
      </c>
      <c r="AV129" s="5"/>
      <c r="AW129" s="153">
        <f t="shared" si="231"/>
        <v>0.57197037037037046</v>
      </c>
      <c r="AX129" s="153">
        <f t="shared" si="150"/>
        <v>0.38608000000000003</v>
      </c>
      <c r="AY129" s="153">
        <f t="shared" si="151"/>
        <v>3.2102222222222213E-2</v>
      </c>
      <c r="AZ129" s="153">
        <f t="shared" si="178"/>
        <v>12.026581752734325</v>
      </c>
      <c r="BA129" s="147">
        <f t="shared" si="232"/>
        <v>7.5578700647486725</v>
      </c>
      <c r="BB129" s="147">
        <f t="shared" si="233"/>
        <v>2.1161453370370369</v>
      </c>
      <c r="BC129" s="5">
        <f t="shared" si="258"/>
        <v>8.776854282103623E-2</v>
      </c>
      <c r="BD129" s="147">
        <f t="shared" si="235"/>
        <v>8.917595022844365</v>
      </c>
      <c r="BF129" s="153">
        <f t="shared" si="179"/>
        <v>6.5496395151014061E-2</v>
      </c>
      <c r="BG129" s="153">
        <f t="shared" si="156"/>
        <v>5.6658822986558957E-2</v>
      </c>
      <c r="BI129" s="463">
        <f t="shared" si="236"/>
        <v>1.5014222222222225E-3</v>
      </c>
      <c r="BJ129" s="463">
        <f t="shared" si="237"/>
        <v>5.0310513777777786E-3</v>
      </c>
      <c r="BK129" s="463">
        <f t="shared" si="238"/>
        <v>2.8598518518518526E-3</v>
      </c>
      <c r="BL129" s="463">
        <f t="shared" si="239"/>
        <v>9.8340284264296328E-3</v>
      </c>
      <c r="BM129">
        <f t="shared" si="240"/>
        <v>2.6099999999999999E-3</v>
      </c>
      <c r="BN129">
        <f t="shared" si="241"/>
        <v>2.2878814814814821E-6</v>
      </c>
      <c r="BO129" s="463">
        <f t="shared" si="242"/>
        <v>2.2047441174356534E-2</v>
      </c>
      <c r="BP129" s="147">
        <f t="shared" si="243"/>
        <v>21.836353878281489</v>
      </c>
      <c r="BQ129" s="463">
        <f t="shared" si="244"/>
        <v>9.7106097777777799E-3</v>
      </c>
      <c r="BT129" s="147">
        <f t="shared" si="245"/>
        <v>9.7106097777777798</v>
      </c>
      <c r="BU129" s="463">
        <f t="shared" si="246"/>
        <v>3.431822222222223E-3</v>
      </c>
      <c r="BV129" s="463">
        <f t="shared" si="247"/>
        <v>2.5553368888888883E-3</v>
      </c>
      <c r="BW129" s="463">
        <f t="shared" si="248"/>
        <v>0</v>
      </c>
      <c r="BX129" s="463"/>
      <c r="BY129" s="463">
        <f t="shared" si="249"/>
        <v>7.7216000000000021E-3</v>
      </c>
      <c r="BZ129" s="147">
        <f t="shared" si="250"/>
        <v>13.708759111111114</v>
      </c>
      <c r="CA129" s="153">
        <f t="shared" si="251"/>
        <v>4.5255722767170381E-2</v>
      </c>
      <c r="CB129" s="5">
        <f t="shared" si="252"/>
        <v>0.38000000000000006</v>
      </c>
      <c r="CC129" s="153">
        <f t="shared" si="253"/>
        <v>0.89357997942346779</v>
      </c>
      <c r="CD129" s="5">
        <f t="shared" si="254"/>
        <v>89.357997942346785</v>
      </c>
      <c r="CG129" s="59">
        <f t="shared" si="255"/>
        <v>-50</v>
      </c>
      <c r="CH129">
        <f t="shared" si="256"/>
        <v>-50</v>
      </c>
    </row>
    <row r="130" spans="5:86" x14ac:dyDescent="0.25">
      <c r="E130" s="150">
        <v>20</v>
      </c>
      <c r="F130" s="191">
        <f t="shared" si="257"/>
        <v>2.0000000000000004E-2</v>
      </c>
      <c r="G130" s="191"/>
      <c r="H130" s="191">
        <f t="shared" si="201"/>
        <v>0.40000000000000008</v>
      </c>
      <c r="I130" s="472">
        <f t="shared" si="202"/>
        <v>9</v>
      </c>
      <c r="J130" s="386">
        <f t="shared" si="203"/>
        <v>20.32</v>
      </c>
      <c r="K130" s="386">
        <f t="shared" si="204"/>
        <v>29.32</v>
      </c>
      <c r="L130" s="386"/>
      <c r="M130" s="191">
        <f t="shared" si="205"/>
        <v>0.69304229195088674</v>
      </c>
      <c r="N130" s="152">
        <f t="shared" si="206"/>
        <v>2.1101682401091408</v>
      </c>
      <c r="O130" s="152">
        <f t="shared" si="173"/>
        <v>0.40000000000000008</v>
      </c>
      <c r="P130" s="191">
        <f t="shared" si="207"/>
        <v>0.10550841200545705</v>
      </c>
      <c r="Q130" s="191">
        <f t="shared" si="208"/>
        <v>20</v>
      </c>
      <c r="R130" s="191"/>
      <c r="S130" s="152">
        <f t="shared" si="209"/>
        <v>142.89510960999743</v>
      </c>
      <c r="T130" s="152">
        <f t="shared" si="210"/>
        <v>20</v>
      </c>
      <c r="U130" s="191">
        <f t="shared" si="211"/>
        <v>0.14250996403227378</v>
      </c>
      <c r="V130" s="191">
        <f t="shared" si="212"/>
        <v>2.3751660672045625</v>
      </c>
      <c r="W130" s="191">
        <f t="shared" si="213"/>
        <v>1.0519928447264304</v>
      </c>
      <c r="X130" s="175">
        <f t="shared" si="214"/>
        <v>277.21691678035478</v>
      </c>
      <c r="Y130" s="386">
        <f t="shared" si="215"/>
        <v>291.7868781977669</v>
      </c>
      <c r="AA130" s="191">
        <f t="shared" si="216"/>
        <v>0.14999999999999997</v>
      </c>
      <c r="AB130" s="153">
        <f t="shared" si="217"/>
        <v>1.1072834645669287</v>
      </c>
      <c r="AC130" s="153">
        <f t="shared" si="218"/>
        <v>2.3021828103683487E-2</v>
      </c>
      <c r="AD130" s="153"/>
      <c r="AE130" s="153">
        <f t="shared" si="219"/>
        <v>1.1072834645669289</v>
      </c>
      <c r="AF130" s="317">
        <f t="shared" si="220"/>
        <v>240.82962962962969</v>
      </c>
      <c r="AG130" s="463">
        <f t="shared" si="221"/>
        <v>2.3021828103683497E-2</v>
      </c>
      <c r="AI130" s="153">
        <f t="shared" si="222"/>
        <v>0.12442630253248213</v>
      </c>
      <c r="AJ130" s="153">
        <f t="shared" si="223"/>
        <v>0.15</v>
      </c>
      <c r="AK130" s="153">
        <f t="shared" si="224"/>
        <v>1.1376169312169313</v>
      </c>
      <c r="AM130" s="317">
        <f t="shared" si="225"/>
        <v>20.000000000000004</v>
      </c>
      <c r="AN130" s="147">
        <f t="shared" si="226"/>
        <v>240.82962962962969</v>
      </c>
      <c r="AP130" s="147">
        <f t="shared" si="227"/>
        <v>20.000000000000004</v>
      </c>
      <c r="AQ130" s="147">
        <f t="shared" si="228"/>
        <v>240.82962962962969</v>
      </c>
      <c r="AS130" s="5">
        <f t="shared" si="175"/>
        <v>4.1523129921259834</v>
      </c>
      <c r="AT130" s="5">
        <f t="shared" si="229"/>
        <v>2.5</v>
      </c>
      <c r="AU130" s="5">
        <f t="shared" si="230"/>
        <v>1.6523129921259834</v>
      </c>
      <c r="AV130" s="5"/>
      <c r="AW130" s="153">
        <f t="shared" si="231"/>
        <v>0.60207407407407421</v>
      </c>
      <c r="AX130" s="153">
        <f t="shared" si="150"/>
        <v>0.40640000000000004</v>
      </c>
      <c r="AY130" s="153">
        <f t="shared" si="151"/>
        <v>2.9844444444444434E-2</v>
      </c>
      <c r="AZ130" s="153">
        <f t="shared" si="178"/>
        <v>13.617274758004474</v>
      </c>
      <c r="BA130" s="147">
        <f t="shared" si="232"/>
        <v>7.5578700647486725</v>
      </c>
      <c r="BB130" s="147">
        <f t="shared" si="233"/>
        <v>2.3416014814814821</v>
      </c>
      <c r="BC130" s="5">
        <f t="shared" si="258"/>
        <v>8.1595703314863391E-2</v>
      </c>
      <c r="BD130" s="147">
        <f t="shared" si="235"/>
        <v>8.3077184796344881</v>
      </c>
      <c r="BF130" s="153">
        <f t="shared" si="179"/>
        <v>6.7197883564555486E-2</v>
      </c>
      <c r="BG130" s="153">
        <f t="shared" si="156"/>
        <v>5.4630069050335676E-2</v>
      </c>
      <c r="BI130" s="463">
        <f t="shared" si="236"/>
        <v>1.5804444444444446E-3</v>
      </c>
      <c r="BJ130" s="463">
        <f t="shared" si="237"/>
        <v>5.295843555555557E-3</v>
      </c>
      <c r="BK130" s="463">
        <f t="shared" si="238"/>
        <v>3.0103703703703712E-3</v>
      </c>
      <c r="BL130" s="463">
        <f t="shared" si="239"/>
        <v>1.035160886992593E-2</v>
      </c>
      <c r="BM130">
        <f t="shared" si="240"/>
        <v>2.6099999999999999E-3</v>
      </c>
      <c r="BN130">
        <f t="shared" si="241"/>
        <v>2.4082962962962968E-6</v>
      </c>
      <c r="BO130" s="463">
        <f t="shared" si="242"/>
        <v>2.3070762786455028E-2</v>
      </c>
      <c r="BP130" s="147">
        <f t="shared" si="243"/>
        <v>22.848267240296302</v>
      </c>
      <c r="BQ130" s="463">
        <f t="shared" si="244"/>
        <v>9.9201155555555566E-3</v>
      </c>
      <c r="BT130" s="147">
        <f t="shared" si="245"/>
        <v>9.9201155555555562</v>
      </c>
      <c r="BU130" s="463">
        <f t="shared" si="246"/>
        <v>3.6124444444444455E-3</v>
      </c>
      <c r="BV130" s="463">
        <f t="shared" si="247"/>
        <v>2.3756177777777775E-3</v>
      </c>
      <c r="BW130" s="463">
        <f t="shared" si="248"/>
        <v>0</v>
      </c>
      <c r="BX130" s="463"/>
      <c r="BY130" s="463">
        <f t="shared" si="249"/>
        <v>8.1280000000000033E-3</v>
      </c>
      <c r="BZ130" s="147">
        <f t="shared" si="250"/>
        <v>14.116062222222226</v>
      </c>
      <c r="CA130" s="153">
        <f t="shared" si="251"/>
        <v>4.6884445018074081E-2</v>
      </c>
      <c r="CB130" s="5">
        <f t="shared" si="252"/>
        <v>0.40000000000000008</v>
      </c>
      <c r="CC130" s="153">
        <f t="shared" si="253"/>
        <v>0.89508597683193503</v>
      </c>
      <c r="CD130" s="5">
        <f t="shared" si="254"/>
        <v>89.5085976831935</v>
      </c>
      <c r="CG130" s="59">
        <f t="shared" si="255"/>
        <v>-50</v>
      </c>
      <c r="CH130">
        <f t="shared" si="256"/>
        <v>-50</v>
      </c>
    </row>
    <row r="131" spans="5:86" x14ac:dyDescent="0.25">
      <c r="E131" s="150">
        <v>21</v>
      </c>
      <c r="F131" s="191">
        <f t="shared" si="257"/>
        <v>2.1000000000000001E-2</v>
      </c>
      <c r="G131" s="191"/>
      <c r="H131" s="191">
        <f t="shared" si="201"/>
        <v>0.42000000000000004</v>
      </c>
      <c r="I131" s="472">
        <f t="shared" si="202"/>
        <v>9</v>
      </c>
      <c r="J131" s="386">
        <f t="shared" si="203"/>
        <v>20.32</v>
      </c>
      <c r="K131" s="386">
        <f t="shared" si="204"/>
        <v>29.32</v>
      </c>
      <c r="L131" s="386"/>
      <c r="M131" s="191">
        <f t="shared" si="205"/>
        <v>0.69304229195088674</v>
      </c>
      <c r="N131" s="152">
        <f t="shared" si="206"/>
        <v>2.1101682401091408</v>
      </c>
      <c r="O131" s="152">
        <f t="shared" si="173"/>
        <v>0.42000000000000004</v>
      </c>
      <c r="P131" s="191">
        <f t="shared" si="207"/>
        <v>0.10550841200545705</v>
      </c>
      <c r="Q131" s="191">
        <f t="shared" si="208"/>
        <v>20</v>
      </c>
      <c r="R131" s="191"/>
      <c r="S131" s="152">
        <f t="shared" si="209"/>
        <v>135.66403609946565</v>
      </c>
      <c r="T131" s="152">
        <f t="shared" si="210"/>
        <v>20</v>
      </c>
      <c r="U131" s="191">
        <f t="shared" si="211"/>
        <v>0.14963546223388746</v>
      </c>
      <c r="V131" s="191">
        <f t="shared" si="212"/>
        <v>2.4939243705647911</v>
      </c>
      <c r="W131" s="191">
        <f t="shared" si="213"/>
        <v>1.1045924869627519</v>
      </c>
      <c r="X131" s="175">
        <f t="shared" si="214"/>
        <v>277.21691678035478</v>
      </c>
      <c r="Y131" s="386">
        <f t="shared" si="215"/>
        <v>277.89226495025417</v>
      </c>
      <c r="AA131" s="191">
        <f t="shared" si="216"/>
        <v>0.14999999999999997</v>
      </c>
      <c r="AB131" s="153">
        <f t="shared" si="217"/>
        <v>1.1072834645669287</v>
      </c>
      <c r="AC131" s="153">
        <f t="shared" si="218"/>
        <v>2.3021828103683487E-2</v>
      </c>
      <c r="AD131" s="153"/>
      <c r="AE131" s="153">
        <f t="shared" si="219"/>
        <v>1.1072834645669289</v>
      </c>
      <c r="AF131" s="317">
        <f t="shared" si="220"/>
        <v>252.87111111111116</v>
      </c>
      <c r="AG131" s="463">
        <f t="shared" si="221"/>
        <v>2.3021828103683497E-2</v>
      </c>
      <c r="AI131" s="153">
        <f t="shared" si="222"/>
        <v>0.12749901960407384</v>
      </c>
      <c r="AJ131" s="153">
        <f t="shared" si="223"/>
        <v>0.15</v>
      </c>
      <c r="AK131" s="153">
        <f t="shared" si="224"/>
        <v>1.1444977777777778</v>
      </c>
      <c r="AM131" s="317">
        <f t="shared" si="225"/>
        <v>21</v>
      </c>
      <c r="AN131" s="147">
        <f t="shared" si="226"/>
        <v>252.87111111111116</v>
      </c>
      <c r="AP131" s="147">
        <f t="shared" si="227"/>
        <v>21</v>
      </c>
      <c r="AQ131" s="147">
        <f t="shared" si="228"/>
        <v>252.87111111111116</v>
      </c>
      <c r="AS131" s="5">
        <f t="shared" si="175"/>
        <v>3.9545838020247461</v>
      </c>
      <c r="AT131" s="5">
        <f t="shared" si="229"/>
        <v>2.5</v>
      </c>
      <c r="AU131" s="5">
        <f t="shared" si="230"/>
        <v>1.4545838020247461</v>
      </c>
      <c r="AV131" s="5"/>
      <c r="AW131" s="153">
        <f t="shared" si="231"/>
        <v>0.63217777777777795</v>
      </c>
      <c r="AX131" s="153">
        <f t="shared" si="150"/>
        <v>0.42671999999999999</v>
      </c>
      <c r="AY131" s="153">
        <f t="shared" si="151"/>
        <v>2.7586666666666652E-2</v>
      </c>
      <c r="AZ131" s="153">
        <f t="shared" si="178"/>
        <v>15.46834219429677</v>
      </c>
      <c r="BA131" s="147">
        <f t="shared" si="232"/>
        <v>7.5578700647486725</v>
      </c>
      <c r="BB131" s="147">
        <f t="shared" si="233"/>
        <v>2.5784656333333333</v>
      </c>
      <c r="BC131" s="5">
        <f t="shared" si="258"/>
        <v>7.5422863808690538E-2</v>
      </c>
      <c r="BD131" s="147">
        <f t="shared" si="235"/>
        <v>7.6978419364246093</v>
      </c>
      <c r="BF131" s="153">
        <f t="shared" si="179"/>
        <v>6.8857340446268567E-2</v>
      </c>
      <c r="BG131" s="153">
        <f t="shared" si="156"/>
        <v>5.2523010830174854E-2</v>
      </c>
      <c r="BI131" s="463">
        <f t="shared" si="236"/>
        <v>1.6594666666666664E-3</v>
      </c>
      <c r="BJ131" s="463">
        <f t="shared" si="237"/>
        <v>5.5606357333333337E-3</v>
      </c>
      <c r="BK131" s="463">
        <f t="shared" si="238"/>
        <v>3.1608888888888897E-3</v>
      </c>
      <c r="BL131" s="463">
        <f t="shared" si="239"/>
        <v>1.0869189313422227E-2</v>
      </c>
      <c r="BM131">
        <f t="shared" si="240"/>
        <v>2.6099999999999999E-3</v>
      </c>
      <c r="BN131">
        <f t="shared" si="241"/>
        <v>2.5287111111111119E-6</v>
      </c>
      <c r="BO131" s="463">
        <f t="shared" si="242"/>
        <v>2.4094114246931794E-2</v>
      </c>
      <c r="BP131" s="147">
        <f t="shared" si="243"/>
        <v>23.860180602311118</v>
      </c>
      <c r="BQ131" s="463">
        <f t="shared" si="244"/>
        <v>1.0129621333333333E-2</v>
      </c>
      <c r="BT131" s="147">
        <f t="shared" si="245"/>
        <v>10.129621333333333</v>
      </c>
      <c r="BU131" s="463">
        <f t="shared" si="246"/>
        <v>3.7930666666666662E-3</v>
      </c>
      <c r="BV131" s="463">
        <f t="shared" si="247"/>
        <v>2.1958986666666654E-3</v>
      </c>
      <c r="BW131" s="463">
        <f t="shared" si="248"/>
        <v>0</v>
      </c>
      <c r="BX131" s="463"/>
      <c r="BY131" s="463">
        <f t="shared" si="249"/>
        <v>8.5344000000000027E-3</v>
      </c>
      <c r="BZ131" s="147">
        <f t="shared" si="250"/>
        <v>14.523365333333334</v>
      </c>
      <c r="CA131" s="153">
        <f t="shared" si="251"/>
        <v>4.8513167268977787E-2</v>
      </c>
      <c r="CB131" s="5">
        <f t="shared" si="252"/>
        <v>0.42000000000000004</v>
      </c>
      <c r="CC131" s="153">
        <f t="shared" si="253"/>
        <v>0.89645292670904608</v>
      </c>
      <c r="CD131" s="5">
        <f t="shared" si="254"/>
        <v>89.64529267090461</v>
      </c>
      <c r="CG131" s="59">
        <f t="shared" si="255"/>
        <v>-50</v>
      </c>
      <c r="CH131">
        <f t="shared" si="256"/>
        <v>-50</v>
      </c>
    </row>
    <row r="132" spans="5:86" x14ac:dyDescent="0.25">
      <c r="E132" s="150">
        <v>22</v>
      </c>
      <c r="F132" s="191">
        <f t="shared" si="257"/>
        <v>2.2000000000000002E-2</v>
      </c>
      <c r="G132" s="191"/>
      <c r="H132" s="191">
        <f t="shared" si="201"/>
        <v>0.44000000000000006</v>
      </c>
      <c r="I132" s="472">
        <f t="shared" si="202"/>
        <v>9</v>
      </c>
      <c r="J132" s="386">
        <f t="shared" si="203"/>
        <v>20.32</v>
      </c>
      <c r="K132" s="386">
        <f t="shared" si="204"/>
        <v>29.32</v>
      </c>
      <c r="L132" s="386"/>
      <c r="M132" s="191">
        <f t="shared" si="205"/>
        <v>0.69304229195088674</v>
      </c>
      <c r="N132" s="152">
        <f t="shared" si="206"/>
        <v>2.1101682401091408</v>
      </c>
      <c r="O132" s="152">
        <f t="shared" si="173"/>
        <v>0.44000000000000006</v>
      </c>
      <c r="P132" s="191">
        <f t="shared" si="207"/>
        <v>0.10550841200545705</v>
      </c>
      <c r="Q132" s="191">
        <f t="shared" si="208"/>
        <v>20</v>
      </c>
      <c r="R132" s="191"/>
      <c r="S132" s="152">
        <f t="shared" si="209"/>
        <v>129.09043659203039</v>
      </c>
      <c r="T132" s="152">
        <f t="shared" si="210"/>
        <v>20</v>
      </c>
      <c r="U132" s="191">
        <f t="shared" si="211"/>
        <v>0.15676096043550114</v>
      </c>
      <c r="V132" s="191">
        <f t="shared" si="212"/>
        <v>2.6126826739250189</v>
      </c>
      <c r="W132" s="191">
        <f t="shared" si="213"/>
        <v>1.1571921291990734</v>
      </c>
      <c r="X132" s="175">
        <f t="shared" si="214"/>
        <v>277.21691678035478</v>
      </c>
      <c r="Y132" s="386">
        <f t="shared" si="215"/>
        <v>265.26079836160625</v>
      </c>
      <c r="AA132" s="191">
        <f t="shared" si="216"/>
        <v>0.14999999999999997</v>
      </c>
      <c r="AB132" s="153">
        <f t="shared" si="217"/>
        <v>1.1072834645669287</v>
      </c>
      <c r="AC132" s="153">
        <f t="shared" si="218"/>
        <v>2.3021828103683487E-2</v>
      </c>
      <c r="AD132" s="153"/>
      <c r="AE132" s="153">
        <f t="shared" si="219"/>
        <v>1.1072834645669289</v>
      </c>
      <c r="AF132" s="317">
        <f t="shared" si="220"/>
        <v>264.91259259259266</v>
      </c>
      <c r="AG132" s="463">
        <f t="shared" si="221"/>
        <v>2.3021828103683497E-2</v>
      </c>
      <c r="AI132" s="153">
        <f t="shared" si="222"/>
        <v>0.13049940704116339</v>
      </c>
      <c r="AJ132" s="153">
        <f t="shared" si="223"/>
        <v>0.15</v>
      </c>
      <c r="AK132" s="153">
        <f t="shared" si="224"/>
        <v>1.1513786243386244</v>
      </c>
      <c r="AM132" s="317">
        <f t="shared" si="225"/>
        <v>22.000000000000004</v>
      </c>
      <c r="AN132" s="147">
        <f t="shared" si="226"/>
        <v>264.91259259259266</v>
      </c>
      <c r="AP132" s="147">
        <f t="shared" si="227"/>
        <v>22.000000000000004</v>
      </c>
      <c r="AQ132" s="147">
        <f t="shared" si="228"/>
        <v>264.91259259259266</v>
      </c>
      <c r="AS132" s="5">
        <f t="shared" si="175"/>
        <v>3.774829992841803</v>
      </c>
      <c r="AT132" s="5">
        <f t="shared" si="229"/>
        <v>2.5</v>
      </c>
      <c r="AU132" s="5">
        <f t="shared" si="230"/>
        <v>1.274829992841803</v>
      </c>
      <c r="AV132" s="5"/>
      <c r="AW132" s="153">
        <f t="shared" si="231"/>
        <v>0.66228148148148158</v>
      </c>
      <c r="AX132" s="153">
        <f t="shared" si="150"/>
        <v>0.44704000000000005</v>
      </c>
      <c r="AY132" s="153">
        <f t="shared" si="151"/>
        <v>2.532888888888888E-2</v>
      </c>
      <c r="AZ132" s="153">
        <f t="shared" si="178"/>
        <v>17.649412177575023</v>
      </c>
      <c r="BA132" s="147">
        <f t="shared" si="232"/>
        <v>7.5578700647486725</v>
      </c>
      <c r="BB132" s="147">
        <f t="shared" si="233"/>
        <v>2.8267377925925929</v>
      </c>
      <c r="BC132" s="5">
        <f t="shared" si="258"/>
        <v>6.9250024302517699E-2</v>
      </c>
      <c r="BD132" s="147">
        <f t="shared" si="235"/>
        <v>7.0879653932147324</v>
      </c>
      <c r="BF132" s="153">
        <f t="shared" si="179"/>
        <v>7.0477734860813393E-2</v>
      </c>
      <c r="BG132" s="153">
        <f t="shared" si="156"/>
        <v>5.0327814266952701E-2</v>
      </c>
      <c r="BI132" s="463">
        <f t="shared" si="236"/>
        <v>1.7384888888888888E-3</v>
      </c>
      <c r="BJ132" s="463">
        <f t="shared" si="237"/>
        <v>5.8254279111111121E-3</v>
      </c>
      <c r="BK132" s="463">
        <f t="shared" si="238"/>
        <v>3.3114074074074079E-3</v>
      </c>
      <c r="BL132" s="463">
        <f t="shared" si="239"/>
        <v>1.1386769756918522E-2</v>
      </c>
      <c r="BM132">
        <f t="shared" si="240"/>
        <v>2.6099999999999999E-3</v>
      </c>
      <c r="BN132">
        <f t="shared" si="241"/>
        <v>2.6491259259259265E-6</v>
      </c>
      <c r="BO132" s="463">
        <f t="shared" si="242"/>
        <v>2.5117495557092789E-2</v>
      </c>
      <c r="BP132" s="147">
        <f t="shared" si="243"/>
        <v>24.872093964325934</v>
      </c>
      <c r="BQ132" s="463">
        <f t="shared" si="244"/>
        <v>1.0339127111111112E-2</v>
      </c>
      <c r="BT132" s="147">
        <f t="shared" si="245"/>
        <v>10.339127111111111</v>
      </c>
      <c r="BU132" s="463">
        <f t="shared" si="246"/>
        <v>3.9736888888888891E-3</v>
      </c>
      <c r="BV132" s="463">
        <f t="shared" si="247"/>
        <v>2.016179555555555E-3</v>
      </c>
      <c r="BW132" s="463">
        <f t="shared" si="248"/>
        <v>0</v>
      </c>
      <c r="BX132" s="463"/>
      <c r="BY132" s="463">
        <f t="shared" si="249"/>
        <v>8.9408000000000022E-3</v>
      </c>
      <c r="BZ132" s="147">
        <f t="shared" si="250"/>
        <v>14.930668444444446</v>
      </c>
      <c r="CA132" s="153">
        <f t="shared" si="251"/>
        <v>5.0141889519881494E-2</v>
      </c>
      <c r="CB132" s="5">
        <f t="shared" si="252"/>
        <v>0.44000000000000006</v>
      </c>
      <c r="CC132" s="153">
        <f t="shared" si="253"/>
        <v>0.89769923650272376</v>
      </c>
      <c r="CD132" s="5">
        <f t="shared" si="254"/>
        <v>89.769923650272375</v>
      </c>
      <c r="CG132" s="59">
        <f t="shared" si="255"/>
        <v>-50</v>
      </c>
      <c r="CH132">
        <f t="shared" si="256"/>
        <v>-50</v>
      </c>
    </row>
    <row r="133" spans="5:86" x14ac:dyDescent="0.25">
      <c r="E133" s="150">
        <v>23</v>
      </c>
      <c r="F133" s="191">
        <f t="shared" si="257"/>
        <v>2.3000000000000003E-2</v>
      </c>
      <c r="G133" s="191"/>
      <c r="H133" s="191">
        <f t="shared" si="201"/>
        <v>0.46000000000000008</v>
      </c>
      <c r="I133" s="472">
        <f t="shared" si="202"/>
        <v>9</v>
      </c>
      <c r="J133" s="386">
        <f t="shared" si="203"/>
        <v>20.32</v>
      </c>
      <c r="K133" s="386">
        <f t="shared" si="204"/>
        <v>29.32</v>
      </c>
      <c r="L133" s="386"/>
      <c r="M133" s="191">
        <f t="shared" si="205"/>
        <v>0.69304229195088674</v>
      </c>
      <c r="N133" s="152">
        <f t="shared" si="206"/>
        <v>2.1101682401091408</v>
      </c>
      <c r="O133" s="152">
        <f t="shared" si="173"/>
        <v>0.46000000000000008</v>
      </c>
      <c r="P133" s="191">
        <f t="shared" si="207"/>
        <v>0.10550841200545705</v>
      </c>
      <c r="Q133" s="191">
        <f t="shared" si="208"/>
        <v>20</v>
      </c>
      <c r="R133" s="191"/>
      <c r="S133" s="152">
        <f t="shared" si="209"/>
        <v>123.08855450931411</v>
      </c>
      <c r="T133" s="152">
        <f t="shared" si="210"/>
        <v>20</v>
      </c>
      <c r="U133" s="191">
        <f t="shared" si="211"/>
        <v>0.16388645863711485</v>
      </c>
      <c r="V133" s="191">
        <f t="shared" si="212"/>
        <v>2.7314409772852475</v>
      </c>
      <c r="W133" s="191">
        <f t="shared" si="213"/>
        <v>1.209791771435395</v>
      </c>
      <c r="X133" s="175">
        <f t="shared" si="214"/>
        <v>277.21691678035478</v>
      </c>
      <c r="Y133" s="386">
        <f t="shared" si="215"/>
        <v>253.72772017197121</v>
      </c>
      <c r="AA133" s="191">
        <f t="shared" si="216"/>
        <v>0.14999999999999997</v>
      </c>
      <c r="AB133" s="153">
        <f t="shared" si="217"/>
        <v>1.1072834645669287</v>
      </c>
      <c r="AC133" s="153">
        <f t="shared" si="218"/>
        <v>2.3021828103683487E-2</v>
      </c>
      <c r="AD133" s="153"/>
      <c r="AE133" s="153">
        <f t="shared" si="219"/>
        <v>1.1072834645669289</v>
      </c>
      <c r="AF133" s="317">
        <f t="shared" si="220"/>
        <v>276.95407407407419</v>
      </c>
      <c r="AG133" s="463">
        <f t="shared" si="221"/>
        <v>2.3021828103683497E-2</v>
      </c>
      <c r="AI133" s="153">
        <f t="shared" si="222"/>
        <v>0.13343234419056904</v>
      </c>
      <c r="AJ133" s="153">
        <f t="shared" si="223"/>
        <v>0.15</v>
      </c>
      <c r="AK133" s="153">
        <f t="shared" si="224"/>
        <v>1.1582594708994709</v>
      </c>
      <c r="AM133" s="317">
        <f t="shared" si="225"/>
        <v>23.000000000000004</v>
      </c>
      <c r="AN133" s="147">
        <f t="shared" si="226"/>
        <v>276.95407407407419</v>
      </c>
      <c r="AP133" s="147">
        <f t="shared" si="227"/>
        <v>23.000000000000004</v>
      </c>
      <c r="AQ133" s="147">
        <f t="shared" si="228"/>
        <v>276.95407407407419</v>
      </c>
      <c r="AS133" s="5">
        <f t="shared" si="175"/>
        <v>3.6107069496747677</v>
      </c>
      <c r="AT133" s="5">
        <f t="shared" si="229"/>
        <v>2.5</v>
      </c>
      <c r="AU133" s="5">
        <f t="shared" si="230"/>
        <v>1.1107069496747677</v>
      </c>
      <c r="AV133" s="5"/>
      <c r="AW133" s="153">
        <f t="shared" si="231"/>
        <v>0.69238518518518544</v>
      </c>
      <c r="AX133" s="153">
        <f t="shared" ref="AX133:AX196" si="259">0.5*L*AJ133^2*AN133*1000</f>
        <v>0.46736000000000011</v>
      </c>
      <c r="AY133" s="153">
        <f t="shared" ref="AY133:AY196" si="260">AJ133*Nps/2*(1-AW133)</f>
        <v>2.3071111111111091E-2</v>
      </c>
      <c r="AZ133" s="153">
        <f t="shared" si="178"/>
        <v>20.257368522442711</v>
      </c>
      <c r="BA133" s="147">
        <f t="shared" si="232"/>
        <v>7.5578700647486725</v>
      </c>
      <c r="BB133" s="147">
        <f t="shared" si="233"/>
        <v>3.0864179592592595</v>
      </c>
      <c r="BC133" s="5">
        <f t="shared" si="258"/>
        <v>6.3077184796344846E-2</v>
      </c>
      <c r="BD133" s="147">
        <f t="shared" si="235"/>
        <v>6.4780888500048546</v>
      </c>
      <c r="BF133" s="153">
        <f t="shared" si="179"/>
        <v>7.2061701956648863E-2</v>
      </c>
      <c r="BG133" s="153">
        <f t="shared" ref="BG133:BG196" si="261">AJ133*Nps*SQRT((1-AW133)/3)</f>
        <v>4.8032396474786777E-2</v>
      </c>
      <c r="BI133" s="463">
        <f t="shared" si="236"/>
        <v>1.8175111111111118E-3</v>
      </c>
      <c r="BJ133" s="463">
        <f t="shared" si="237"/>
        <v>6.0902200888888914E-3</v>
      </c>
      <c r="BK133" s="463">
        <f t="shared" si="238"/>
        <v>3.4619259259259269E-3</v>
      </c>
      <c r="BL133" s="463">
        <f t="shared" si="239"/>
        <v>1.1904350200414821E-2</v>
      </c>
      <c r="BM133">
        <f t="shared" si="240"/>
        <v>2.6099999999999999E-3</v>
      </c>
      <c r="BN133">
        <f t="shared" si="241"/>
        <v>2.7695407407407421E-6</v>
      </c>
      <c r="BO133" s="463">
        <f t="shared" si="242"/>
        <v>2.6140906718244046E-2</v>
      </c>
      <c r="BP133" s="147">
        <f t="shared" si="243"/>
        <v>25.884007326340754</v>
      </c>
      <c r="BQ133" s="463">
        <f t="shared" si="244"/>
        <v>1.0548632888888888E-2</v>
      </c>
      <c r="BT133" s="147">
        <f t="shared" si="245"/>
        <v>10.548632888888889</v>
      </c>
      <c r="BU133" s="463">
        <f t="shared" si="246"/>
        <v>4.1543111111111133E-3</v>
      </c>
      <c r="BV133" s="463">
        <f t="shared" si="247"/>
        <v>1.8364604444444431E-3</v>
      </c>
      <c r="BW133" s="463">
        <f t="shared" si="248"/>
        <v>0</v>
      </c>
      <c r="BX133" s="463"/>
      <c r="BY133" s="463">
        <f t="shared" si="249"/>
        <v>9.3472000000000034E-3</v>
      </c>
      <c r="BZ133" s="147">
        <f t="shared" si="250"/>
        <v>15.337971555555558</v>
      </c>
      <c r="CA133" s="153">
        <f t="shared" si="251"/>
        <v>5.1770611770785208E-2</v>
      </c>
      <c r="CB133" s="5">
        <f t="shared" si="252"/>
        <v>0.46000000000000008</v>
      </c>
      <c r="CC133" s="153">
        <f t="shared" si="253"/>
        <v>0.89884020187940661</v>
      </c>
      <c r="CD133" s="5">
        <f t="shared" si="254"/>
        <v>89.884020187940664</v>
      </c>
      <c r="CG133" s="59">
        <f t="shared" si="255"/>
        <v>-50</v>
      </c>
      <c r="CH133">
        <f t="shared" si="256"/>
        <v>-50</v>
      </c>
    </row>
    <row r="134" spans="5:86" x14ac:dyDescent="0.25">
      <c r="E134" s="150">
        <v>24</v>
      </c>
      <c r="F134" s="191">
        <f t="shared" si="257"/>
        <v>2.4E-2</v>
      </c>
      <c r="G134" s="191"/>
      <c r="H134" s="191">
        <f t="shared" si="201"/>
        <v>0.48</v>
      </c>
      <c r="I134" s="472">
        <f t="shared" si="202"/>
        <v>9</v>
      </c>
      <c r="J134" s="386">
        <f t="shared" si="203"/>
        <v>20.32</v>
      </c>
      <c r="K134" s="386">
        <f t="shared" si="204"/>
        <v>29.32</v>
      </c>
      <c r="L134" s="386"/>
      <c r="M134" s="191">
        <f t="shared" si="205"/>
        <v>0.69304229195088674</v>
      </c>
      <c r="N134" s="152">
        <f t="shared" si="206"/>
        <v>2.1101682401091408</v>
      </c>
      <c r="O134" s="152">
        <f t="shared" ref="O134:O197" si="262">T134*F134</f>
        <v>0.48</v>
      </c>
      <c r="P134" s="191">
        <f t="shared" si="207"/>
        <v>0.10550841200545705</v>
      </c>
      <c r="Q134" s="191">
        <f t="shared" si="208"/>
        <v>20</v>
      </c>
      <c r="R134" s="191"/>
      <c r="S134" s="152">
        <f t="shared" si="209"/>
        <v>117.5869260460058</v>
      </c>
      <c r="T134" s="152">
        <f t="shared" si="210"/>
        <v>20</v>
      </c>
      <c r="U134" s="191">
        <f t="shared" si="211"/>
        <v>0.1710119568387285</v>
      </c>
      <c r="V134" s="191">
        <f t="shared" si="212"/>
        <v>2.8501992806454748</v>
      </c>
      <c r="W134" s="191">
        <f t="shared" si="213"/>
        <v>1.2623914136717163</v>
      </c>
      <c r="X134" s="175">
        <f t="shared" si="214"/>
        <v>277.21691678035478</v>
      </c>
      <c r="Y134" s="386">
        <f t="shared" si="215"/>
        <v>243.15573183147242</v>
      </c>
      <c r="AA134" s="191">
        <f t="shared" si="216"/>
        <v>0.14999999999999997</v>
      </c>
      <c r="AB134" s="153">
        <f t="shared" si="217"/>
        <v>1.1072834645669287</v>
      </c>
      <c r="AC134" s="153">
        <f t="shared" si="218"/>
        <v>2.3021828103683487E-2</v>
      </c>
      <c r="AD134" s="153"/>
      <c r="AE134" s="153">
        <f t="shared" si="219"/>
        <v>1.1072834645669289</v>
      </c>
      <c r="AF134" s="317">
        <f t="shared" si="220"/>
        <v>288.99555555555554</v>
      </c>
      <c r="AG134" s="463">
        <f t="shared" si="221"/>
        <v>2.3021828103683497E-2</v>
      </c>
      <c r="AI134" s="153">
        <f t="shared" si="222"/>
        <v>0.13630218528800525</v>
      </c>
      <c r="AJ134" s="153">
        <f t="shared" si="223"/>
        <v>0.1710119568387285</v>
      </c>
      <c r="AK134" s="153">
        <f t="shared" si="224"/>
        <v>1.2140079712258189</v>
      </c>
      <c r="AM134" s="317">
        <f t="shared" si="225"/>
        <v>24</v>
      </c>
      <c r="AN134" s="147">
        <f t="shared" si="226"/>
        <v>243.15573183147242</v>
      </c>
      <c r="AP134" s="147">
        <f t="shared" si="227"/>
        <v>24</v>
      </c>
      <c r="AQ134" s="147">
        <f t="shared" si="228"/>
        <v>243.15573183147242</v>
      </c>
      <c r="AS134" s="5">
        <f t="shared" ref="AS134:AS197" si="263">1/AN134*1000</f>
        <v>4.1125906943171913</v>
      </c>
      <c r="AT134" s="5">
        <f t="shared" si="229"/>
        <v>2.8501992806454748</v>
      </c>
      <c r="AU134" s="5">
        <f t="shared" si="230"/>
        <v>1.2623914136717165</v>
      </c>
      <c r="AV134" s="5"/>
      <c r="AW134" s="153">
        <f t="shared" si="231"/>
        <v>0.69304229195088674</v>
      </c>
      <c r="AX134" s="153">
        <f t="shared" si="259"/>
        <v>0.5333333333333331</v>
      </c>
      <c r="AY134" s="153">
        <f t="shared" si="260"/>
        <v>2.624671916010499E-2</v>
      </c>
      <c r="AZ134" s="153">
        <f t="shared" ref="AZ134:AZ197" si="264">AX134/AY134</f>
        <v>20.31999999999999</v>
      </c>
      <c r="BA134" s="147">
        <f t="shared" si="232"/>
        <v>7.5578700647486725</v>
      </c>
      <c r="BB134" s="147">
        <f t="shared" si="233"/>
        <v>3.3575061333333327</v>
      </c>
      <c r="BC134" s="5">
        <f t="shared" si="258"/>
        <v>7.4808380069435049E-2</v>
      </c>
      <c r="BD134" s="147">
        <f t="shared" si="235"/>
        <v>7.6586157847212828</v>
      </c>
      <c r="BF134" s="153">
        <f t="shared" ref="BF134:BF197" si="265">AJ134*SQRT(AW134/3)</f>
        <v>8.2195060219534946E-2</v>
      </c>
      <c r="BG134" s="153">
        <f t="shared" si="261"/>
        <v>5.4702241295740361E-2</v>
      </c>
      <c r="BI134" s="463">
        <f t="shared" si="236"/>
        <v>2.3646097735725417E-3</v>
      </c>
      <c r="BJ134" s="463">
        <f t="shared" si="237"/>
        <v>6.095999999999999E-3</v>
      </c>
      <c r="BK134" s="463">
        <f t="shared" si="238"/>
        <v>3.0394466478934051E-3</v>
      </c>
      <c r="BL134" s="463">
        <f t="shared" si="239"/>
        <v>1.0451591999999999E-2</v>
      </c>
      <c r="BM134">
        <f t="shared" si="240"/>
        <v>2.6099999999999999E-3</v>
      </c>
      <c r="BN134">
        <f t="shared" si="241"/>
        <v>2.4315573183147241E-6</v>
      </c>
      <c r="BO134" s="463">
        <f t="shared" si="242"/>
        <v>2.489416288718669E-2</v>
      </c>
      <c r="BP134" s="147">
        <f t="shared" si="243"/>
        <v>24.561648421465943</v>
      </c>
      <c r="BQ134" s="463">
        <f t="shared" si="244"/>
        <v>1.1454144094921936E-2</v>
      </c>
      <c r="BT134" s="147">
        <f t="shared" si="245"/>
        <v>11.454144094921936</v>
      </c>
      <c r="BU134" s="463">
        <f t="shared" si="246"/>
        <v>5.4048223395943814E-3</v>
      </c>
      <c r="BV134" s="463">
        <f t="shared" si="247"/>
        <v>2.3818988214108121E-3</v>
      </c>
      <c r="BW134" s="463">
        <f t="shared" si="248"/>
        <v>0</v>
      </c>
      <c r="BX134" s="463"/>
      <c r="BY134" s="463">
        <f t="shared" si="249"/>
        <v>1.0666666666666666E-2</v>
      </c>
      <c r="BZ134" s="147">
        <f t="shared" si="250"/>
        <v>18.453387827671861</v>
      </c>
      <c r="CA134" s="153">
        <f t="shared" si="251"/>
        <v>5.4469180344059745E-2</v>
      </c>
      <c r="CB134" s="5">
        <f t="shared" si="252"/>
        <v>0.48</v>
      </c>
      <c r="CC134" s="153">
        <f t="shared" si="253"/>
        <v>0.89808733160442344</v>
      </c>
      <c r="CD134" s="5">
        <f t="shared" si="254"/>
        <v>89.808733160442344</v>
      </c>
      <c r="CG134" s="59">
        <f t="shared" si="255"/>
        <v>-50</v>
      </c>
      <c r="CH134">
        <f t="shared" si="256"/>
        <v>-50</v>
      </c>
    </row>
    <row r="135" spans="5:86" x14ac:dyDescent="0.25">
      <c r="E135" s="150">
        <v>25</v>
      </c>
      <c r="F135" s="191">
        <f t="shared" si="257"/>
        <v>2.5000000000000001E-2</v>
      </c>
      <c r="G135" s="191"/>
      <c r="H135" s="191">
        <f t="shared" si="201"/>
        <v>0.5</v>
      </c>
      <c r="I135" s="472">
        <f t="shared" si="202"/>
        <v>9</v>
      </c>
      <c r="J135" s="386">
        <f t="shared" si="203"/>
        <v>20.32</v>
      </c>
      <c r="K135" s="386">
        <f t="shared" si="204"/>
        <v>29.32</v>
      </c>
      <c r="L135" s="386"/>
      <c r="M135" s="191">
        <f t="shared" si="205"/>
        <v>0.69304229195088674</v>
      </c>
      <c r="N135" s="152">
        <f t="shared" si="206"/>
        <v>2.1101682401091408</v>
      </c>
      <c r="O135" s="152">
        <f t="shared" si="262"/>
        <v>0.5</v>
      </c>
      <c r="P135" s="191">
        <f t="shared" si="207"/>
        <v>0.10550841200545705</v>
      </c>
      <c r="Q135" s="191">
        <f t="shared" si="208"/>
        <v>20</v>
      </c>
      <c r="R135" s="191"/>
      <c r="S135" s="152">
        <f t="shared" si="209"/>
        <v>112.5255216153798</v>
      </c>
      <c r="T135" s="152">
        <f t="shared" si="210"/>
        <v>20</v>
      </c>
      <c r="U135" s="191">
        <f t="shared" si="211"/>
        <v>0.1781374550403422</v>
      </c>
      <c r="V135" s="191">
        <f t="shared" si="212"/>
        <v>2.968957584005703</v>
      </c>
      <c r="W135" s="191">
        <f t="shared" si="213"/>
        <v>1.3149910559080378</v>
      </c>
      <c r="X135" s="175">
        <f t="shared" si="214"/>
        <v>277.21691678035478</v>
      </c>
      <c r="Y135" s="386">
        <f t="shared" si="215"/>
        <v>233.42950255821356</v>
      </c>
      <c r="AA135" s="191">
        <f t="shared" si="216"/>
        <v>0.14999999999999997</v>
      </c>
      <c r="AB135" s="153">
        <f t="shared" si="217"/>
        <v>1.1072834645669287</v>
      </c>
      <c r="AC135" s="153">
        <f t="shared" si="218"/>
        <v>2.3021828103683487E-2</v>
      </c>
      <c r="AD135" s="153"/>
      <c r="AE135" s="153">
        <f t="shared" si="219"/>
        <v>1.1072834645669289</v>
      </c>
      <c r="AF135" s="317">
        <f t="shared" si="220"/>
        <v>301.03703703703707</v>
      </c>
      <c r="AG135" s="463">
        <f t="shared" si="221"/>
        <v>2.3021828103683497E-2</v>
      </c>
      <c r="AI135" s="153">
        <f t="shared" si="222"/>
        <v>0.13911283532579213</v>
      </c>
      <c r="AJ135" s="153">
        <f t="shared" si="223"/>
        <v>0.1781374550403422</v>
      </c>
      <c r="AK135" s="153">
        <f t="shared" si="224"/>
        <v>1.2187583033602281</v>
      </c>
      <c r="AM135" s="317">
        <f t="shared" si="225"/>
        <v>25</v>
      </c>
      <c r="AN135" s="147">
        <f t="shared" si="226"/>
        <v>233.42950255821356</v>
      </c>
      <c r="AP135" s="147">
        <f t="shared" si="227"/>
        <v>25</v>
      </c>
      <c r="AQ135" s="147">
        <f t="shared" si="228"/>
        <v>233.42950255821356</v>
      </c>
      <c r="AS135" s="5">
        <f t="shared" si="263"/>
        <v>4.2839486399137412</v>
      </c>
      <c r="AT135" s="5">
        <f t="shared" si="229"/>
        <v>2.968957584005703</v>
      </c>
      <c r="AU135" s="5">
        <f t="shared" si="230"/>
        <v>1.3149910559080382</v>
      </c>
      <c r="AV135" s="5"/>
      <c r="AW135" s="153">
        <f t="shared" si="231"/>
        <v>0.69304229195088674</v>
      </c>
      <c r="AX135" s="153">
        <f t="shared" si="259"/>
        <v>0.55555555555555569</v>
      </c>
      <c r="AY135" s="153">
        <f t="shared" si="260"/>
        <v>2.7340332458442702E-2</v>
      </c>
      <c r="AZ135" s="153">
        <f t="shared" si="264"/>
        <v>20.32</v>
      </c>
      <c r="BA135" s="147">
        <f t="shared" si="232"/>
        <v>7.5578700647486725</v>
      </c>
      <c r="BB135" s="147">
        <f t="shared" si="233"/>
        <v>3.6400023148148151</v>
      </c>
      <c r="BC135" s="5">
        <f t="shared" si="258"/>
        <v>8.1172287401730756E-2</v>
      </c>
      <c r="BD135" s="147">
        <f t="shared" si="235"/>
        <v>8.3024139253582625</v>
      </c>
      <c r="BF135" s="153">
        <f t="shared" si="265"/>
        <v>8.5619854395348916E-2</v>
      </c>
      <c r="BG135" s="153">
        <f t="shared" si="261"/>
        <v>5.6981501349729548E-2</v>
      </c>
      <c r="BI135" s="463">
        <f t="shared" si="236"/>
        <v>2.565765813338262E-3</v>
      </c>
      <c r="BJ135" s="463">
        <f t="shared" si="237"/>
        <v>6.0960000000000016E-3</v>
      </c>
      <c r="BK135" s="463">
        <f t="shared" si="238"/>
        <v>2.9178687819776694E-3</v>
      </c>
      <c r="BL135" s="463">
        <f t="shared" si="239"/>
        <v>1.0033528320000002E-2</v>
      </c>
      <c r="BM135">
        <f t="shared" si="240"/>
        <v>2.6099999999999999E-3</v>
      </c>
      <c r="BN135">
        <f t="shared" si="241"/>
        <v>2.3342950255821356E-6</v>
      </c>
      <c r="BO135" s="463">
        <f t="shared" si="242"/>
        <v>2.4583513031775639E-2</v>
      </c>
      <c r="BP135" s="147">
        <f t="shared" si="243"/>
        <v>24.223162915315935</v>
      </c>
      <c r="BQ135" s="463">
        <f t="shared" si="244"/>
        <v>1.2030625102996894E-2</v>
      </c>
      <c r="BT135" s="147">
        <f t="shared" si="245"/>
        <v>12.030625102996893</v>
      </c>
      <c r="BU135" s="463">
        <f t="shared" si="246"/>
        <v>5.8646075733445992E-3</v>
      </c>
      <c r="BV135" s="463">
        <f t="shared" si="247"/>
        <v>2.5845256308711074E-3</v>
      </c>
      <c r="BW135" s="463">
        <f t="shared" si="248"/>
        <v>0</v>
      </c>
      <c r="BX135" s="463"/>
      <c r="BY135" s="463">
        <f t="shared" si="249"/>
        <v>1.1111111111111115E-2</v>
      </c>
      <c r="BZ135" s="147">
        <f t="shared" si="250"/>
        <v>19.56024431532682</v>
      </c>
      <c r="CA135" s="153">
        <f t="shared" si="251"/>
        <v>5.581403233363965E-2</v>
      </c>
      <c r="CB135" s="5">
        <f t="shared" si="252"/>
        <v>0.5</v>
      </c>
      <c r="CC135" s="153">
        <f t="shared" si="253"/>
        <v>0.89958146234757874</v>
      </c>
      <c r="CD135" s="5">
        <f t="shared" si="254"/>
        <v>89.958146234757876</v>
      </c>
      <c r="CG135" s="59">
        <f t="shared" si="255"/>
        <v>-50</v>
      </c>
      <c r="CH135">
        <f t="shared" si="256"/>
        <v>-50</v>
      </c>
    </row>
    <row r="136" spans="5:86" x14ac:dyDescent="0.25">
      <c r="E136" s="150">
        <v>26</v>
      </c>
      <c r="F136" s="191">
        <f t="shared" si="257"/>
        <v>2.6000000000000002E-2</v>
      </c>
      <c r="G136" s="191"/>
      <c r="H136" s="191">
        <f t="shared" si="201"/>
        <v>0.52</v>
      </c>
      <c r="I136" s="472">
        <f t="shared" si="202"/>
        <v>9</v>
      </c>
      <c r="J136" s="386">
        <f t="shared" si="203"/>
        <v>20.32</v>
      </c>
      <c r="K136" s="386">
        <f t="shared" si="204"/>
        <v>29.32</v>
      </c>
      <c r="L136" s="386"/>
      <c r="M136" s="191">
        <f t="shared" si="205"/>
        <v>0.69304229195088674</v>
      </c>
      <c r="N136" s="152">
        <f t="shared" si="206"/>
        <v>2.1101682401091408</v>
      </c>
      <c r="O136" s="152">
        <f t="shared" si="262"/>
        <v>0.52</v>
      </c>
      <c r="P136" s="191">
        <f t="shared" si="207"/>
        <v>0.10550841200545705</v>
      </c>
      <c r="Q136" s="191">
        <f t="shared" si="208"/>
        <v>20</v>
      </c>
      <c r="R136" s="191"/>
      <c r="S136" s="152">
        <f t="shared" si="209"/>
        <v>107.85354696123586</v>
      </c>
      <c r="T136" s="152">
        <f t="shared" si="210"/>
        <v>20</v>
      </c>
      <c r="U136" s="191">
        <f t="shared" si="211"/>
        <v>0.18526295324195588</v>
      </c>
      <c r="V136" s="191">
        <f t="shared" si="212"/>
        <v>3.0877158873659312</v>
      </c>
      <c r="W136" s="191">
        <f t="shared" si="213"/>
        <v>1.3675906981443591</v>
      </c>
      <c r="X136" s="175">
        <f t="shared" si="214"/>
        <v>277.21691678035478</v>
      </c>
      <c r="Y136" s="386">
        <f t="shared" si="215"/>
        <v>224.45144476751304</v>
      </c>
      <c r="AA136" s="191">
        <f t="shared" si="216"/>
        <v>0.14999999999999997</v>
      </c>
      <c r="AB136" s="153">
        <f t="shared" si="217"/>
        <v>1.1072834645669287</v>
      </c>
      <c r="AC136" s="153">
        <f t="shared" si="218"/>
        <v>2.3021828103683487E-2</v>
      </c>
      <c r="AD136" s="153"/>
      <c r="AE136" s="153">
        <f t="shared" si="219"/>
        <v>1.1072834645669289</v>
      </c>
      <c r="AF136" s="317">
        <f t="shared" si="220"/>
        <v>313.07851851851854</v>
      </c>
      <c r="AG136" s="463">
        <f t="shared" si="221"/>
        <v>2.3021828103683497E-2</v>
      </c>
      <c r="AI136" s="153">
        <f t="shared" si="222"/>
        <v>0.14186781238348675</v>
      </c>
      <c r="AJ136" s="153">
        <f t="shared" si="223"/>
        <v>0.18526295324195588</v>
      </c>
      <c r="AK136" s="153">
        <f t="shared" si="224"/>
        <v>1.2235086354946372</v>
      </c>
      <c r="AM136" s="317">
        <f t="shared" si="225"/>
        <v>26.000000000000004</v>
      </c>
      <c r="AN136" s="147">
        <f t="shared" si="226"/>
        <v>224.45144476751304</v>
      </c>
      <c r="AP136" s="147">
        <f t="shared" si="227"/>
        <v>26.000000000000004</v>
      </c>
      <c r="AQ136" s="147">
        <f t="shared" si="228"/>
        <v>224.45144476751304</v>
      </c>
      <c r="AS136" s="5">
        <f t="shared" si="263"/>
        <v>4.4553065855102902</v>
      </c>
      <c r="AT136" s="5">
        <f t="shared" si="229"/>
        <v>3.0877158873659312</v>
      </c>
      <c r="AU136" s="5">
        <f t="shared" si="230"/>
        <v>1.3675906981443591</v>
      </c>
      <c r="AV136" s="5"/>
      <c r="AW136" s="153">
        <f t="shared" si="231"/>
        <v>0.69304229195088685</v>
      </c>
      <c r="AX136" s="153">
        <f t="shared" si="259"/>
        <v>0.57777777777777783</v>
      </c>
      <c r="AY136" s="153">
        <f t="shared" si="260"/>
        <v>2.8433945756780397E-2</v>
      </c>
      <c r="AZ136" s="153">
        <f t="shared" si="264"/>
        <v>20.320000000000004</v>
      </c>
      <c r="BA136" s="147">
        <f t="shared" si="232"/>
        <v>7.5578700647486725</v>
      </c>
      <c r="BB136" s="147">
        <f t="shared" si="233"/>
        <v>3.933906503703704</v>
      </c>
      <c r="BC136" s="5">
        <f t="shared" si="258"/>
        <v>8.7795946053711951E-2</v>
      </c>
      <c r="BD136" s="147">
        <f t="shared" si="235"/>
        <v>8.9721871979637893</v>
      </c>
      <c r="BF136" s="153">
        <f t="shared" si="265"/>
        <v>8.9044648571162885E-2</v>
      </c>
      <c r="BG136" s="153">
        <f t="shared" si="261"/>
        <v>5.926076140371872E-2</v>
      </c>
      <c r="BI136" s="463">
        <f t="shared" si="236"/>
        <v>2.7751323037066649E-3</v>
      </c>
      <c r="BJ136" s="463">
        <f t="shared" si="237"/>
        <v>6.0960000000000016E-3</v>
      </c>
      <c r="BK136" s="463">
        <f t="shared" si="238"/>
        <v>2.8056430595939127E-3</v>
      </c>
      <c r="BL136" s="463">
        <f t="shared" si="239"/>
        <v>9.6476233846153857E-3</v>
      </c>
      <c r="BM136">
        <f t="shared" si="240"/>
        <v>2.6099999999999999E-3</v>
      </c>
      <c r="BN136">
        <f t="shared" si="241"/>
        <v>2.2445144476751304E-6</v>
      </c>
      <c r="BO136" s="463">
        <f t="shared" si="242"/>
        <v>2.4323740168026638E-2</v>
      </c>
      <c r="BP136" s="147">
        <f t="shared" si="243"/>
        <v>23.934398747915967</v>
      </c>
      <c r="BQ136" s="463">
        <f t="shared" si="244"/>
        <v>1.2615044111401439E-2</v>
      </c>
      <c r="BT136" s="147">
        <f t="shared" si="245"/>
        <v>12.615044111401438</v>
      </c>
      <c r="BU136" s="463">
        <f t="shared" si="246"/>
        <v>6.3431595513295212E-3</v>
      </c>
      <c r="BV136" s="463">
        <f t="shared" si="247"/>
        <v>2.7954229223501889E-3</v>
      </c>
      <c r="BW136" s="463">
        <f t="shared" si="248"/>
        <v>0</v>
      </c>
      <c r="BX136" s="463"/>
      <c r="BY136" s="463">
        <f t="shared" si="249"/>
        <v>1.1555555555555558E-2</v>
      </c>
      <c r="BZ136" s="147">
        <f t="shared" si="250"/>
        <v>20.694138029235269</v>
      </c>
      <c r="CA136" s="153">
        <f t="shared" si="251"/>
        <v>5.7243580888552678E-2</v>
      </c>
      <c r="CB136" s="5">
        <f t="shared" si="252"/>
        <v>0.52</v>
      </c>
      <c r="CC136" s="153">
        <f t="shared" si="253"/>
        <v>0.90083288444639364</v>
      </c>
      <c r="CD136" s="5">
        <f t="shared" si="254"/>
        <v>90.083288444639365</v>
      </c>
      <c r="CG136" s="59">
        <f t="shared" si="255"/>
        <v>-50</v>
      </c>
      <c r="CH136">
        <f t="shared" si="256"/>
        <v>-50</v>
      </c>
    </row>
    <row r="137" spans="5:86" x14ac:dyDescent="0.25">
      <c r="E137" s="150">
        <v>27</v>
      </c>
      <c r="F137" s="191">
        <f t="shared" si="257"/>
        <v>2.7000000000000003E-2</v>
      </c>
      <c r="G137" s="191"/>
      <c r="H137" s="191">
        <f t="shared" si="201"/>
        <v>0.54</v>
      </c>
      <c r="I137" s="472">
        <f t="shared" si="202"/>
        <v>9</v>
      </c>
      <c r="J137" s="386">
        <f t="shared" si="203"/>
        <v>20.32</v>
      </c>
      <c r="K137" s="386">
        <f t="shared" si="204"/>
        <v>29.32</v>
      </c>
      <c r="L137" s="386"/>
      <c r="M137" s="191">
        <f t="shared" si="205"/>
        <v>0.69304229195088674</v>
      </c>
      <c r="N137" s="152">
        <f t="shared" si="206"/>
        <v>2.1101682401091408</v>
      </c>
      <c r="O137" s="152">
        <f t="shared" si="262"/>
        <v>0.54</v>
      </c>
      <c r="P137" s="191">
        <f t="shared" si="207"/>
        <v>0.10550841200545705</v>
      </c>
      <c r="Q137" s="191">
        <f t="shared" si="208"/>
        <v>20</v>
      </c>
      <c r="R137" s="191"/>
      <c r="S137" s="152">
        <f t="shared" si="209"/>
        <v>103.52773291163179</v>
      </c>
      <c r="T137" s="152">
        <f t="shared" si="210"/>
        <v>20</v>
      </c>
      <c r="U137" s="191">
        <f t="shared" si="211"/>
        <v>0.19238845144356959</v>
      </c>
      <c r="V137" s="191">
        <f t="shared" si="212"/>
        <v>3.2064741907261589</v>
      </c>
      <c r="W137" s="191">
        <f t="shared" si="213"/>
        <v>1.4201903403806808</v>
      </c>
      <c r="X137" s="175">
        <f t="shared" si="214"/>
        <v>277.21691678035478</v>
      </c>
      <c r="Y137" s="386">
        <f t="shared" si="215"/>
        <v>216.13842829464215</v>
      </c>
      <c r="AA137" s="191">
        <f t="shared" si="216"/>
        <v>0.14999999999999997</v>
      </c>
      <c r="AB137" s="153">
        <f t="shared" si="217"/>
        <v>1.1072834645669287</v>
      </c>
      <c r="AC137" s="153">
        <f t="shared" si="218"/>
        <v>2.3021828103683487E-2</v>
      </c>
      <c r="AD137" s="153"/>
      <c r="AE137" s="153">
        <f t="shared" si="219"/>
        <v>1.1072834645669289</v>
      </c>
      <c r="AF137" s="317">
        <f t="shared" si="220"/>
        <v>325.12000000000006</v>
      </c>
      <c r="AG137" s="463">
        <f t="shared" si="221"/>
        <v>2.3021828103683497E-2</v>
      </c>
      <c r="AI137" s="153">
        <f t="shared" si="222"/>
        <v>0.14457029926154069</v>
      </c>
      <c r="AJ137" s="153">
        <f t="shared" si="223"/>
        <v>0.19238845144356959</v>
      </c>
      <c r="AK137" s="153">
        <f t="shared" si="224"/>
        <v>1.2282589676290463</v>
      </c>
      <c r="AM137" s="317">
        <f t="shared" si="225"/>
        <v>27.000000000000004</v>
      </c>
      <c r="AN137" s="147">
        <f t="shared" si="226"/>
        <v>216.13842829464215</v>
      </c>
      <c r="AP137" s="147">
        <f t="shared" si="227"/>
        <v>27.000000000000004</v>
      </c>
      <c r="AQ137" s="147">
        <f t="shared" si="228"/>
        <v>216.13842829464215</v>
      </c>
      <c r="AS137" s="5">
        <f t="shared" si="263"/>
        <v>4.6266645311068411</v>
      </c>
      <c r="AT137" s="5">
        <f t="shared" si="229"/>
        <v>3.2064741907261589</v>
      </c>
      <c r="AU137" s="5">
        <f t="shared" si="230"/>
        <v>1.4201903403806821</v>
      </c>
      <c r="AV137" s="5"/>
      <c r="AW137" s="153">
        <f t="shared" si="231"/>
        <v>0.69304229195088651</v>
      </c>
      <c r="AX137" s="153">
        <f t="shared" si="259"/>
        <v>0.60000000000000009</v>
      </c>
      <c r="AY137" s="153">
        <f t="shared" si="260"/>
        <v>2.9527559055118141E-2</v>
      </c>
      <c r="AZ137" s="153">
        <f t="shared" si="264"/>
        <v>20.319999999999983</v>
      </c>
      <c r="BA137" s="147">
        <f t="shared" si="232"/>
        <v>7.5578700647486725</v>
      </c>
      <c r="BB137" s="147">
        <f t="shared" si="233"/>
        <v>4.2392186999999995</v>
      </c>
      <c r="BC137" s="5">
        <f t="shared" si="258"/>
        <v>9.4679356025378802E-2</v>
      </c>
      <c r="BD137" s="147">
        <f t="shared" si="235"/>
        <v>9.6679356025378809</v>
      </c>
      <c r="BF137" s="153">
        <f t="shared" si="265"/>
        <v>9.2469442746976827E-2</v>
      </c>
      <c r="BG137" s="153">
        <f t="shared" si="261"/>
        <v>6.1540021457707941E-2</v>
      </c>
      <c r="BI137" s="463">
        <f t="shared" si="236"/>
        <v>2.9927092446777486E-3</v>
      </c>
      <c r="BJ137" s="463">
        <f t="shared" si="237"/>
        <v>6.0959999999999999E-3</v>
      </c>
      <c r="BK137" s="463">
        <f t="shared" si="238"/>
        <v>2.7017303536830267E-3</v>
      </c>
      <c r="BL137" s="463">
        <f t="shared" si="239"/>
        <v>9.290304000000001E-3</v>
      </c>
      <c r="BM137">
        <f t="shared" si="240"/>
        <v>2.6099999999999999E-3</v>
      </c>
      <c r="BN137">
        <f t="shared" si="241"/>
        <v>2.1613842829464214E-6</v>
      </c>
      <c r="BO137" s="463">
        <f t="shared" si="242"/>
        <v>2.4110233313069721E-2</v>
      </c>
      <c r="BP137" s="147">
        <f t="shared" si="243"/>
        <v>23.690743598360779</v>
      </c>
      <c r="BQ137" s="463">
        <f t="shared" si="244"/>
        <v>1.3207401120135579E-2</v>
      </c>
      <c r="BT137" s="147">
        <f t="shared" si="245"/>
        <v>13.207401120135579</v>
      </c>
      <c r="BU137" s="463">
        <f t="shared" si="246"/>
        <v>6.8404782735491405E-3</v>
      </c>
      <c r="BV137" s="463">
        <f t="shared" si="247"/>
        <v>3.0145906958480625E-3</v>
      </c>
      <c r="BW137" s="463">
        <f t="shared" si="248"/>
        <v>0</v>
      </c>
      <c r="BX137" s="463"/>
      <c r="BY137" s="463">
        <f t="shared" si="249"/>
        <v>1.2000000000000004E-2</v>
      </c>
      <c r="BZ137" s="147">
        <f t="shared" si="250"/>
        <v>21.855068969397205</v>
      </c>
      <c r="CA137" s="153">
        <f t="shared" si="251"/>
        <v>5.875321368789356E-2</v>
      </c>
      <c r="CB137" s="5">
        <f t="shared" si="252"/>
        <v>0.54</v>
      </c>
      <c r="CC137" s="153">
        <f t="shared" si="253"/>
        <v>0.90187407375065998</v>
      </c>
      <c r="CD137" s="5">
        <f t="shared" si="254"/>
        <v>90.187407375066002</v>
      </c>
      <c r="CG137" s="59">
        <f t="shared" si="255"/>
        <v>-50</v>
      </c>
      <c r="CH137">
        <f t="shared" si="256"/>
        <v>-50</v>
      </c>
    </row>
    <row r="138" spans="5:86" x14ac:dyDescent="0.25">
      <c r="E138" s="150">
        <v>28</v>
      </c>
      <c r="F138" s="191">
        <f t="shared" si="257"/>
        <v>2.8000000000000004E-2</v>
      </c>
      <c r="G138" s="191"/>
      <c r="H138" s="191">
        <f t="shared" si="201"/>
        <v>0.56000000000000005</v>
      </c>
      <c r="I138" s="472">
        <f t="shared" si="202"/>
        <v>9</v>
      </c>
      <c r="J138" s="386">
        <f t="shared" si="203"/>
        <v>20.32</v>
      </c>
      <c r="K138" s="386">
        <f t="shared" si="204"/>
        <v>29.32</v>
      </c>
      <c r="L138" s="386"/>
      <c r="M138" s="191">
        <f t="shared" si="205"/>
        <v>0.69304229195088674</v>
      </c>
      <c r="N138" s="152">
        <f t="shared" si="206"/>
        <v>2.1101682401091408</v>
      </c>
      <c r="O138" s="152">
        <f t="shared" si="262"/>
        <v>0.56000000000000005</v>
      </c>
      <c r="P138" s="191">
        <f t="shared" si="207"/>
        <v>0.10550841200545705</v>
      </c>
      <c r="Q138" s="191">
        <f t="shared" si="208"/>
        <v>20</v>
      </c>
      <c r="R138" s="191"/>
      <c r="S138" s="152">
        <f t="shared" si="209"/>
        <v>99.510991613961139</v>
      </c>
      <c r="T138" s="152">
        <f t="shared" si="210"/>
        <v>20</v>
      </c>
      <c r="U138" s="191">
        <f t="shared" si="211"/>
        <v>0.19951394964518326</v>
      </c>
      <c r="V138" s="191">
        <f t="shared" si="212"/>
        <v>3.3252324940863875</v>
      </c>
      <c r="W138" s="191">
        <f t="shared" si="213"/>
        <v>1.4727899826170023</v>
      </c>
      <c r="X138" s="175">
        <f t="shared" si="214"/>
        <v>277.21691678035478</v>
      </c>
      <c r="Y138" s="386">
        <f t="shared" si="215"/>
        <v>208.41919871269064</v>
      </c>
      <c r="AA138" s="191">
        <f t="shared" si="216"/>
        <v>0.14999999999999997</v>
      </c>
      <c r="AB138" s="153">
        <f t="shared" si="217"/>
        <v>1.1072834645669287</v>
      </c>
      <c r="AC138" s="153">
        <f t="shared" si="218"/>
        <v>2.3021828103683487E-2</v>
      </c>
      <c r="AD138" s="153"/>
      <c r="AE138" s="153">
        <f t="shared" si="219"/>
        <v>1.1072834645669289</v>
      </c>
      <c r="AF138" s="317">
        <f t="shared" si="220"/>
        <v>337.16148148148159</v>
      </c>
      <c r="AG138" s="463">
        <f t="shared" si="221"/>
        <v>2.3021828103683497E-2</v>
      </c>
      <c r="AI138" s="153">
        <f t="shared" si="222"/>
        <v>0.14722318657965081</v>
      </c>
      <c r="AJ138" s="153">
        <f t="shared" si="223"/>
        <v>0.19951394964518326</v>
      </c>
      <c r="AK138" s="153">
        <f t="shared" si="224"/>
        <v>1.2330092997634554</v>
      </c>
      <c r="AM138" s="317">
        <f t="shared" si="225"/>
        <v>28.000000000000004</v>
      </c>
      <c r="AN138" s="147">
        <f t="shared" si="226"/>
        <v>208.41919871269064</v>
      </c>
      <c r="AP138" s="147">
        <f t="shared" si="227"/>
        <v>28.000000000000004</v>
      </c>
      <c r="AQ138" s="147">
        <f t="shared" si="228"/>
        <v>208.41919871269064</v>
      </c>
      <c r="AS138" s="5">
        <f t="shared" si="263"/>
        <v>4.7980224767033901</v>
      </c>
      <c r="AT138" s="5">
        <f t="shared" si="229"/>
        <v>3.3252324940863875</v>
      </c>
      <c r="AU138" s="5">
        <f t="shared" si="230"/>
        <v>1.4727899826170026</v>
      </c>
      <c r="AV138" s="5"/>
      <c r="AW138" s="153">
        <f t="shared" si="231"/>
        <v>0.69304229195088674</v>
      </c>
      <c r="AX138" s="153">
        <f t="shared" si="259"/>
        <v>0.62222222222222223</v>
      </c>
      <c r="AY138" s="153">
        <f t="shared" si="260"/>
        <v>3.0621172353455826E-2</v>
      </c>
      <c r="AZ138" s="153">
        <f t="shared" si="264"/>
        <v>20.319999999999997</v>
      </c>
      <c r="BA138" s="147">
        <f t="shared" si="232"/>
        <v>7.5578700647486725</v>
      </c>
      <c r="BB138" s="147">
        <f t="shared" si="233"/>
        <v>4.5559389037037041</v>
      </c>
      <c r="BC138" s="5">
        <f t="shared" si="258"/>
        <v>0.10182251731673105</v>
      </c>
      <c r="BD138" s="147">
        <f t="shared" si="235"/>
        <v>10.389659139080512</v>
      </c>
      <c r="BF138" s="153">
        <f t="shared" si="265"/>
        <v>9.5894236922790782E-2</v>
      </c>
      <c r="BG138" s="153">
        <f t="shared" si="261"/>
        <v>6.3819281511697093E-2</v>
      </c>
      <c r="BI138" s="463">
        <f t="shared" si="236"/>
        <v>3.2184966362515158E-3</v>
      </c>
      <c r="BJ138" s="463">
        <f t="shared" si="237"/>
        <v>6.0959999999999999E-3</v>
      </c>
      <c r="BK138" s="463">
        <f t="shared" si="238"/>
        <v>2.605239983908633E-3</v>
      </c>
      <c r="BL138" s="463">
        <f t="shared" si="239"/>
        <v>8.9585074285714293E-3</v>
      </c>
      <c r="BM138">
        <f t="shared" si="240"/>
        <v>2.6099999999999999E-3</v>
      </c>
      <c r="BN138">
        <f t="shared" si="241"/>
        <v>2.0841919871269064E-6</v>
      </c>
      <c r="BO138" s="463">
        <f t="shared" si="242"/>
        <v>2.3939040591251189E-2</v>
      </c>
      <c r="BP138" s="147">
        <f t="shared" si="243"/>
        <v>23.48824404873158</v>
      </c>
      <c r="BQ138" s="463">
        <f t="shared" si="244"/>
        <v>1.3807696129199302E-2</v>
      </c>
      <c r="BT138" s="147">
        <f t="shared" si="245"/>
        <v>13.807696129199302</v>
      </c>
      <c r="BU138" s="463">
        <f t="shared" si="246"/>
        <v>7.3565637400034647E-3</v>
      </c>
      <c r="BV138" s="463">
        <f t="shared" si="247"/>
        <v>3.2420289513647171E-3</v>
      </c>
      <c r="BW138" s="463">
        <f t="shared" si="248"/>
        <v>0</v>
      </c>
      <c r="BX138" s="463"/>
      <c r="BY138" s="463">
        <f t="shared" si="249"/>
        <v>1.2444444444444445E-2</v>
      </c>
      <c r="BZ138" s="147">
        <f t="shared" si="250"/>
        <v>23.043037135812629</v>
      </c>
      <c r="CA138" s="153">
        <f t="shared" si="251"/>
        <v>6.0338977313743505E-2</v>
      </c>
      <c r="CB138" s="5">
        <f t="shared" si="252"/>
        <v>0.56000000000000005</v>
      </c>
      <c r="CC138" s="153">
        <f t="shared" si="253"/>
        <v>0.9027322487859305</v>
      </c>
      <c r="CD138" s="5">
        <f t="shared" si="254"/>
        <v>90.273224878593055</v>
      </c>
      <c r="CG138" s="59">
        <f t="shared" si="255"/>
        <v>-50</v>
      </c>
      <c r="CH138">
        <f t="shared" si="256"/>
        <v>-50</v>
      </c>
    </row>
    <row r="139" spans="5:86" x14ac:dyDescent="0.25">
      <c r="E139" s="150">
        <v>29</v>
      </c>
      <c r="F139" s="191">
        <f t="shared" si="257"/>
        <v>2.8999999999999998E-2</v>
      </c>
      <c r="G139" s="191"/>
      <c r="H139" s="191">
        <f t="shared" si="201"/>
        <v>0.57999999999999996</v>
      </c>
      <c r="I139" s="472">
        <f t="shared" si="202"/>
        <v>9</v>
      </c>
      <c r="J139" s="386">
        <f t="shared" si="203"/>
        <v>20.32</v>
      </c>
      <c r="K139" s="386">
        <f t="shared" si="204"/>
        <v>29.32</v>
      </c>
      <c r="L139" s="386"/>
      <c r="M139" s="191">
        <f t="shared" si="205"/>
        <v>0.69304229195088674</v>
      </c>
      <c r="N139" s="152">
        <f t="shared" si="206"/>
        <v>2.1101682401091408</v>
      </c>
      <c r="O139" s="152">
        <f t="shared" si="262"/>
        <v>0.57999999999999996</v>
      </c>
      <c r="P139" s="191">
        <f t="shared" si="207"/>
        <v>0.10550841200545705</v>
      </c>
      <c r="Q139" s="191">
        <f t="shared" si="208"/>
        <v>20</v>
      </c>
      <c r="R139" s="191"/>
      <c r="S139" s="152">
        <f t="shared" si="209"/>
        <v>95.771350790361623</v>
      </c>
      <c r="T139" s="152">
        <f t="shared" si="210"/>
        <v>20</v>
      </c>
      <c r="U139" s="191">
        <f t="shared" si="211"/>
        <v>0.20663944784679694</v>
      </c>
      <c r="V139" s="191">
        <f t="shared" si="212"/>
        <v>3.4439907974466153</v>
      </c>
      <c r="W139" s="191">
        <f t="shared" si="213"/>
        <v>1.5253896248533236</v>
      </c>
      <c r="X139" s="175">
        <f t="shared" si="214"/>
        <v>277.21691678035478</v>
      </c>
      <c r="Y139" s="386">
        <f t="shared" si="215"/>
        <v>201.23232979156342</v>
      </c>
      <c r="AA139" s="191">
        <f t="shared" si="216"/>
        <v>0.14999999999999997</v>
      </c>
      <c r="AB139" s="153">
        <f t="shared" si="217"/>
        <v>1.1072834645669287</v>
      </c>
      <c r="AC139" s="153">
        <f t="shared" si="218"/>
        <v>2.3021828103683487E-2</v>
      </c>
      <c r="AD139" s="153"/>
      <c r="AE139" s="153">
        <f t="shared" si="219"/>
        <v>1.1072834645669289</v>
      </c>
      <c r="AF139" s="317">
        <f t="shared" si="220"/>
        <v>349.202962962963</v>
      </c>
      <c r="AG139" s="463">
        <f t="shared" si="221"/>
        <v>2.3021828103683497E-2</v>
      </c>
      <c r="AI139" s="153">
        <f t="shared" si="222"/>
        <v>0.14982910900343066</v>
      </c>
      <c r="AJ139" s="153">
        <f t="shared" si="223"/>
        <v>0.20663944784679694</v>
      </c>
      <c r="AK139" s="153">
        <f t="shared" si="224"/>
        <v>1.2377596318978645</v>
      </c>
      <c r="AM139" s="317">
        <f t="shared" si="225"/>
        <v>28.999999999999996</v>
      </c>
      <c r="AN139" s="147">
        <f t="shared" si="226"/>
        <v>201.23232979156342</v>
      </c>
      <c r="AP139" s="147">
        <f t="shared" si="227"/>
        <v>28.999999999999996</v>
      </c>
      <c r="AQ139" s="147">
        <f t="shared" si="228"/>
        <v>201.23232979156342</v>
      </c>
      <c r="AS139" s="5">
        <f t="shared" si="263"/>
        <v>4.9693804222999391</v>
      </c>
      <c r="AT139" s="5">
        <f t="shared" si="229"/>
        <v>3.4439907974466153</v>
      </c>
      <c r="AU139" s="5">
        <f t="shared" si="230"/>
        <v>1.5253896248533239</v>
      </c>
      <c r="AV139" s="5"/>
      <c r="AW139" s="153">
        <f t="shared" si="231"/>
        <v>0.69304229195088674</v>
      </c>
      <c r="AX139" s="153">
        <f t="shared" si="259"/>
        <v>0.64444444444444449</v>
      </c>
      <c r="AY139" s="153">
        <f t="shared" si="260"/>
        <v>3.1714785651793531E-2</v>
      </c>
      <c r="AZ139" s="153">
        <f t="shared" si="264"/>
        <v>20.319999999999997</v>
      </c>
      <c r="BA139" s="147">
        <f t="shared" si="232"/>
        <v>7.5578700647486725</v>
      </c>
      <c r="BB139" s="147">
        <f t="shared" si="233"/>
        <v>4.8840671148148136</v>
      </c>
      <c r="BC139" s="5">
        <f t="shared" si="258"/>
        <v>0.10922542992776885</v>
      </c>
      <c r="BD139" s="147">
        <f t="shared" si="235"/>
        <v>11.137357807591702</v>
      </c>
      <c r="BF139" s="153">
        <f t="shared" si="265"/>
        <v>9.9319031098604738E-2</v>
      </c>
      <c r="BG139" s="153">
        <f t="shared" si="261"/>
        <v>6.6098541565686272E-2</v>
      </c>
      <c r="BI139" s="463">
        <f t="shared" si="236"/>
        <v>3.4524944784279647E-3</v>
      </c>
      <c r="BJ139" s="463">
        <f t="shared" si="237"/>
        <v>6.0960000000000016E-3</v>
      </c>
      <c r="BK139" s="463">
        <f t="shared" si="238"/>
        <v>2.5154041223945426E-3</v>
      </c>
      <c r="BL139" s="463">
        <f t="shared" si="239"/>
        <v>8.6495933793103458E-3</v>
      </c>
      <c r="BM139">
        <f t="shared" si="240"/>
        <v>2.6099999999999999E-3</v>
      </c>
      <c r="BN139">
        <f t="shared" si="241"/>
        <v>2.012323297915634E-6</v>
      </c>
      <c r="BO139" s="463">
        <f t="shared" si="242"/>
        <v>2.3806755609746409E-2</v>
      </c>
      <c r="BP139" s="147">
        <f t="shared" si="243"/>
        <v>23.323491980132857</v>
      </c>
      <c r="BQ139" s="463">
        <f t="shared" si="244"/>
        <v>1.4415929138592616E-2</v>
      </c>
      <c r="BT139" s="147">
        <f t="shared" si="245"/>
        <v>14.415929138592615</v>
      </c>
      <c r="BU139" s="463">
        <f t="shared" si="246"/>
        <v>7.8914159506924923E-3</v>
      </c>
      <c r="BV139" s="463">
        <f t="shared" si="247"/>
        <v>3.477737688900162E-3</v>
      </c>
      <c r="BW139" s="463">
        <f t="shared" si="248"/>
        <v>0</v>
      </c>
      <c r="BX139" s="463"/>
      <c r="BY139" s="463">
        <f t="shared" si="249"/>
        <v>1.2888888888888892E-2</v>
      </c>
      <c r="BZ139" s="147">
        <f t="shared" si="250"/>
        <v>24.258042528481546</v>
      </c>
      <c r="CA139" s="153">
        <f t="shared" si="251"/>
        <v>6.199746364720702E-2</v>
      </c>
      <c r="CB139" s="5">
        <f t="shared" si="252"/>
        <v>0.57999999999999996</v>
      </c>
      <c r="CC139" s="153">
        <f t="shared" si="253"/>
        <v>0.90343036046435832</v>
      </c>
      <c r="CD139" s="5">
        <f t="shared" si="254"/>
        <v>90.343036046435827</v>
      </c>
      <c r="CG139" s="59">
        <f t="shared" si="255"/>
        <v>-50</v>
      </c>
      <c r="CH139">
        <f t="shared" si="256"/>
        <v>-50</v>
      </c>
    </row>
    <row r="140" spans="5:86" x14ac:dyDescent="0.25">
      <c r="E140" s="150">
        <v>30</v>
      </c>
      <c r="F140" s="191">
        <f t="shared" si="257"/>
        <v>0.03</v>
      </c>
      <c r="G140" s="191"/>
      <c r="H140" s="191">
        <f t="shared" si="201"/>
        <v>0.6</v>
      </c>
      <c r="I140" s="472">
        <f t="shared" si="202"/>
        <v>9</v>
      </c>
      <c r="J140" s="386">
        <f t="shared" si="203"/>
        <v>20.32</v>
      </c>
      <c r="K140" s="386">
        <f t="shared" si="204"/>
        <v>29.32</v>
      </c>
      <c r="L140" s="386"/>
      <c r="M140" s="191">
        <f t="shared" si="205"/>
        <v>0.69304229195088674</v>
      </c>
      <c r="N140" s="152">
        <f t="shared" si="206"/>
        <v>2.1101682401091408</v>
      </c>
      <c r="O140" s="152">
        <f t="shared" si="262"/>
        <v>0.6</v>
      </c>
      <c r="P140" s="191">
        <f t="shared" si="207"/>
        <v>0.10550841200545705</v>
      </c>
      <c r="Q140" s="191">
        <f t="shared" si="208"/>
        <v>20</v>
      </c>
      <c r="R140" s="191"/>
      <c r="S140" s="152">
        <f t="shared" si="209"/>
        <v>92.281101142043454</v>
      </c>
      <c r="T140" s="152">
        <f t="shared" si="210"/>
        <v>20</v>
      </c>
      <c r="U140" s="191">
        <f t="shared" si="211"/>
        <v>0.21376494604841062</v>
      </c>
      <c r="V140" s="191">
        <f t="shared" si="212"/>
        <v>3.562749100806843</v>
      </c>
      <c r="W140" s="191">
        <f t="shared" si="213"/>
        <v>1.5779892670896449</v>
      </c>
      <c r="X140" s="175">
        <f t="shared" si="214"/>
        <v>277.21691678035478</v>
      </c>
      <c r="Y140" s="386">
        <f t="shared" si="215"/>
        <v>194.52458546517798</v>
      </c>
      <c r="AA140" s="191">
        <f t="shared" si="216"/>
        <v>0.14999999999999997</v>
      </c>
      <c r="AB140" s="153">
        <f t="shared" si="217"/>
        <v>1.1072834645669287</v>
      </c>
      <c r="AC140" s="153">
        <f t="shared" si="218"/>
        <v>2.3021828103683487E-2</v>
      </c>
      <c r="AD140" s="153"/>
      <c r="AE140" s="153">
        <f t="shared" si="219"/>
        <v>1.1072834645669289</v>
      </c>
      <c r="AF140" s="317">
        <f t="shared" si="220"/>
        <v>361.24444444444441</v>
      </c>
      <c r="AG140" s="463">
        <f t="shared" si="221"/>
        <v>2.3021828103683497E-2</v>
      </c>
      <c r="AI140" s="153">
        <f t="shared" si="222"/>
        <v>0.15239047589287574</v>
      </c>
      <c r="AJ140" s="153">
        <f t="shared" si="223"/>
        <v>0.21376494604841062</v>
      </c>
      <c r="AK140" s="153">
        <f t="shared" si="224"/>
        <v>1.2425099640322737</v>
      </c>
      <c r="AM140" s="317">
        <f t="shared" si="225"/>
        <v>30</v>
      </c>
      <c r="AN140" s="147">
        <f t="shared" si="226"/>
        <v>194.52458546517798</v>
      </c>
      <c r="AP140" s="147">
        <f t="shared" si="227"/>
        <v>30</v>
      </c>
      <c r="AQ140" s="147">
        <f t="shared" si="228"/>
        <v>194.52458546517798</v>
      </c>
      <c r="AS140" s="5">
        <f t="shared" si="263"/>
        <v>5.1407383678964882</v>
      </c>
      <c r="AT140" s="5">
        <f t="shared" si="229"/>
        <v>3.562749100806843</v>
      </c>
      <c r="AU140" s="5">
        <f t="shared" si="230"/>
        <v>1.5779892670896452</v>
      </c>
      <c r="AV140" s="5"/>
      <c r="AW140" s="153">
        <f t="shared" si="231"/>
        <v>0.69304229195088674</v>
      </c>
      <c r="AX140" s="153">
        <f t="shared" si="259"/>
        <v>0.66666666666666674</v>
      </c>
      <c r="AY140" s="153">
        <f t="shared" si="260"/>
        <v>3.280839895013124E-2</v>
      </c>
      <c r="AZ140" s="153">
        <f t="shared" si="264"/>
        <v>20.319999999999997</v>
      </c>
      <c r="BA140" s="147">
        <f t="shared" si="232"/>
        <v>7.5578700647486725</v>
      </c>
      <c r="BB140" s="147">
        <f t="shared" si="233"/>
        <v>5.2236033333333314</v>
      </c>
      <c r="BC140" s="5">
        <f t="shared" si="258"/>
        <v>0.11688809385849222</v>
      </c>
      <c r="BD140" s="147">
        <f t="shared" si="235"/>
        <v>11.911031608071445</v>
      </c>
      <c r="BF140" s="153">
        <f t="shared" si="265"/>
        <v>0.10274382527441869</v>
      </c>
      <c r="BG140" s="153">
        <f t="shared" si="261"/>
        <v>6.8377801619675452E-2</v>
      </c>
      <c r="BI140" s="463">
        <f t="shared" si="236"/>
        <v>3.6947027712070971E-3</v>
      </c>
      <c r="BJ140" s="463">
        <f t="shared" si="237"/>
        <v>6.0960000000000016E-3</v>
      </c>
      <c r="BK140" s="463">
        <f t="shared" si="238"/>
        <v>2.4315573183147244E-3</v>
      </c>
      <c r="BL140" s="463">
        <f t="shared" si="239"/>
        <v>8.3612736000000017E-3</v>
      </c>
      <c r="BM140">
        <f t="shared" si="240"/>
        <v>2.6099999999999999E-3</v>
      </c>
      <c r="BN140">
        <f t="shared" si="241"/>
        <v>1.9452458546517797E-6</v>
      </c>
      <c r="BO140" s="463">
        <f t="shared" si="242"/>
        <v>2.3710426559062223E-2</v>
      </c>
      <c r="BP140" s="147">
        <f t="shared" si="243"/>
        <v>23.193533689521825</v>
      </c>
      <c r="BQ140" s="463">
        <f t="shared" si="244"/>
        <v>1.5032100148315523E-2</v>
      </c>
      <c r="BT140" s="147">
        <f t="shared" si="245"/>
        <v>15.032100148315523</v>
      </c>
      <c r="BU140" s="463">
        <f t="shared" si="246"/>
        <v>8.4450349056162232E-3</v>
      </c>
      <c r="BV140" s="463">
        <f t="shared" si="247"/>
        <v>3.7217169084543937E-3</v>
      </c>
      <c r="BW140" s="463">
        <f t="shared" si="248"/>
        <v>0</v>
      </c>
      <c r="BX140" s="463"/>
      <c r="BY140" s="463">
        <f t="shared" si="249"/>
        <v>1.3333333333333336E-2</v>
      </c>
      <c r="BZ140" s="147">
        <f t="shared" si="250"/>
        <v>25.500085147403951</v>
      </c>
      <c r="CA140" s="153">
        <f t="shared" si="251"/>
        <v>6.3725718985241306E-2</v>
      </c>
      <c r="CB140" s="5">
        <f t="shared" si="252"/>
        <v>0.6</v>
      </c>
      <c r="CC140" s="153">
        <f t="shared" si="253"/>
        <v>0.90398787155231775</v>
      </c>
      <c r="CD140" s="5">
        <f t="shared" si="254"/>
        <v>90.398787155231773</v>
      </c>
      <c r="CG140" s="59">
        <f t="shared" si="255"/>
        <v>-50</v>
      </c>
      <c r="CH140">
        <f t="shared" si="256"/>
        <v>-50</v>
      </c>
    </row>
    <row r="141" spans="5:86" x14ac:dyDescent="0.25">
      <c r="E141" s="150">
        <v>31</v>
      </c>
      <c r="F141" s="191">
        <f t="shared" si="257"/>
        <v>3.1E-2</v>
      </c>
      <c r="G141" s="191"/>
      <c r="H141" s="191">
        <f t="shared" si="201"/>
        <v>0.62</v>
      </c>
      <c r="I141" s="472">
        <f t="shared" si="202"/>
        <v>9</v>
      </c>
      <c r="J141" s="386">
        <f t="shared" si="203"/>
        <v>20.32</v>
      </c>
      <c r="K141" s="386">
        <f t="shared" si="204"/>
        <v>29.32</v>
      </c>
      <c r="L141" s="386"/>
      <c r="M141" s="191">
        <f t="shared" si="205"/>
        <v>0.69304229195088674</v>
      </c>
      <c r="N141" s="152">
        <f t="shared" si="206"/>
        <v>2.1101682401091408</v>
      </c>
      <c r="O141" s="152">
        <f t="shared" si="262"/>
        <v>0.62</v>
      </c>
      <c r="P141" s="191">
        <f t="shared" si="207"/>
        <v>0.10550841200545705</v>
      </c>
      <c r="Q141" s="191">
        <f t="shared" si="208"/>
        <v>20</v>
      </c>
      <c r="R141" s="191"/>
      <c r="S141" s="152">
        <f t="shared" si="209"/>
        <v>89.01610877213686</v>
      </c>
      <c r="T141" s="152">
        <f t="shared" si="210"/>
        <v>20</v>
      </c>
      <c r="U141" s="191">
        <f t="shared" si="211"/>
        <v>0.22089044425002433</v>
      </c>
      <c r="V141" s="191">
        <f t="shared" si="212"/>
        <v>3.6815074041670717</v>
      </c>
      <c r="W141" s="191">
        <f t="shared" si="213"/>
        <v>1.6305889093259667</v>
      </c>
      <c r="X141" s="175">
        <f t="shared" si="214"/>
        <v>277.21691678035478</v>
      </c>
      <c r="Y141" s="386">
        <f t="shared" si="215"/>
        <v>188.24959883726899</v>
      </c>
      <c r="AA141" s="191">
        <f t="shared" si="216"/>
        <v>0.14999999999999997</v>
      </c>
      <c r="AB141" s="153">
        <f t="shared" si="217"/>
        <v>1.1072834645669287</v>
      </c>
      <c r="AC141" s="153">
        <f t="shared" si="218"/>
        <v>2.3021828103683487E-2</v>
      </c>
      <c r="AD141" s="153"/>
      <c r="AE141" s="153">
        <f t="shared" si="219"/>
        <v>1.1072834645669289</v>
      </c>
      <c r="AF141" s="317">
        <f t="shared" si="220"/>
        <v>373.28592592592594</v>
      </c>
      <c r="AG141" s="463">
        <f t="shared" si="221"/>
        <v>2.3021828103683497E-2</v>
      </c>
      <c r="AI141" s="153">
        <f t="shared" si="222"/>
        <v>0.15490949738783732</v>
      </c>
      <c r="AJ141" s="153">
        <f t="shared" si="223"/>
        <v>0.22089044425002433</v>
      </c>
      <c r="AK141" s="153">
        <f t="shared" si="224"/>
        <v>1.2472602961666828</v>
      </c>
      <c r="AM141" s="317">
        <f t="shared" si="225"/>
        <v>31</v>
      </c>
      <c r="AN141" s="147">
        <f t="shared" si="226"/>
        <v>188.24959883726899</v>
      </c>
      <c r="AP141" s="147">
        <f t="shared" si="227"/>
        <v>31</v>
      </c>
      <c r="AQ141" s="147">
        <f t="shared" si="228"/>
        <v>188.24959883726899</v>
      </c>
      <c r="AS141" s="5">
        <f t="shared" si="263"/>
        <v>5.3120963134930381</v>
      </c>
      <c r="AT141" s="5">
        <f t="shared" si="229"/>
        <v>3.6815074041670717</v>
      </c>
      <c r="AU141" s="5">
        <f t="shared" si="230"/>
        <v>1.6305889093259665</v>
      </c>
      <c r="AV141" s="5"/>
      <c r="AW141" s="153">
        <f t="shared" si="231"/>
        <v>0.69304229195088685</v>
      </c>
      <c r="AX141" s="153">
        <f t="shared" si="259"/>
        <v>0.68888888888888899</v>
      </c>
      <c r="AY141" s="153">
        <f t="shared" si="260"/>
        <v>3.3902012248468935E-2</v>
      </c>
      <c r="AZ141" s="153">
        <f t="shared" si="264"/>
        <v>20.320000000000007</v>
      </c>
      <c r="BA141" s="147">
        <f t="shared" si="232"/>
        <v>7.5578700647486725</v>
      </c>
      <c r="BB141" s="147">
        <f t="shared" si="233"/>
        <v>5.5745475592592575</v>
      </c>
      <c r="BC141" s="5">
        <f t="shared" si="258"/>
        <v>0.12481050910890114</v>
      </c>
      <c r="BD141" s="147">
        <f t="shared" si="235"/>
        <v>12.710680540519744</v>
      </c>
      <c r="BF141" s="153">
        <f t="shared" si="265"/>
        <v>0.10616861945023266</v>
      </c>
      <c r="BG141" s="153">
        <f t="shared" si="261"/>
        <v>7.0657061673664631E-2</v>
      </c>
      <c r="BI141" s="463">
        <f t="shared" si="236"/>
        <v>3.9451215145889116E-3</v>
      </c>
      <c r="BJ141" s="463">
        <f t="shared" si="237"/>
        <v>6.0959999999999999E-3</v>
      </c>
      <c r="BK141" s="463">
        <f t="shared" si="238"/>
        <v>2.353119985465862E-3</v>
      </c>
      <c r="BL141" s="463">
        <f t="shared" si="239"/>
        <v>8.0915550967741948E-3</v>
      </c>
      <c r="BM141">
        <f t="shared" si="240"/>
        <v>2.6099999999999999E-3</v>
      </c>
      <c r="BN141">
        <f t="shared" si="241"/>
        <v>1.8824959883726899E-6</v>
      </c>
      <c r="BO141" s="463">
        <f t="shared" si="242"/>
        <v>2.3647482907002779E-2</v>
      </c>
      <c r="BP141" s="147">
        <f t="shared" si="243"/>
        <v>23.095796596828968</v>
      </c>
      <c r="BQ141" s="463">
        <f t="shared" si="244"/>
        <v>1.5656209158368021E-2</v>
      </c>
      <c r="BT141" s="147">
        <f t="shared" si="245"/>
        <v>15.656209158368021</v>
      </c>
      <c r="BU141" s="463">
        <f t="shared" si="246"/>
        <v>9.0174206047746574E-3</v>
      </c>
      <c r="BV141" s="463">
        <f t="shared" si="247"/>
        <v>3.9739666100274138E-3</v>
      </c>
      <c r="BW141" s="463">
        <f t="shared" si="248"/>
        <v>0</v>
      </c>
      <c r="BX141" s="463"/>
      <c r="BY141" s="463">
        <f t="shared" si="249"/>
        <v>1.3777777777777781E-2</v>
      </c>
      <c r="BZ141" s="147">
        <f t="shared" si="250"/>
        <v>26.769164992579853</v>
      </c>
      <c r="CA141" s="153">
        <f t="shared" si="251"/>
        <v>6.5521170747776844E-2</v>
      </c>
      <c r="CB141" s="5">
        <f t="shared" si="252"/>
        <v>0.62</v>
      </c>
      <c r="CC141" s="153">
        <f t="shared" si="253"/>
        <v>0.90442137523439958</v>
      </c>
      <c r="CD141" s="5">
        <f t="shared" si="254"/>
        <v>90.442137523439953</v>
      </c>
      <c r="CG141" s="59">
        <f t="shared" si="255"/>
        <v>-50</v>
      </c>
      <c r="CH141">
        <f t="shared" si="256"/>
        <v>-50</v>
      </c>
    </row>
    <row r="142" spans="5:86" x14ac:dyDescent="0.25">
      <c r="E142" s="150">
        <v>32</v>
      </c>
      <c r="F142" s="191">
        <f t="shared" si="257"/>
        <v>3.2000000000000001E-2</v>
      </c>
      <c r="G142" s="191"/>
      <c r="H142" s="191">
        <f t="shared" ref="H142:H173" si="266">F142*Vout</f>
        <v>0.64</v>
      </c>
      <c r="I142" s="472">
        <f t="shared" ref="I142:I173" si="267">VIN_min</f>
        <v>9</v>
      </c>
      <c r="J142" s="386">
        <f t="shared" ref="J142:J173" si="268">(T142+Vfwd1)*Nps</f>
        <v>20.32</v>
      </c>
      <c r="K142" s="386">
        <f t="shared" ref="K142:K173" si="269">(Vout+Vfwd1)*Nps+I142</f>
        <v>29.32</v>
      </c>
      <c r="L142" s="386"/>
      <c r="M142" s="191">
        <f t="shared" ref="M142:M173" si="270">(Vout+Vfwd1)*Nps/((Vout+Vfwd1)*Nps+I142)</f>
        <v>0.69304229195088674</v>
      </c>
      <c r="N142" s="152">
        <f t="shared" ref="N142:N173" si="271">M142*I142*(Isw_max+VIN_min/Lmag*ILIM_delay)*0.5*Efficiency</f>
        <v>2.1101682401091408</v>
      </c>
      <c r="O142" s="152">
        <f t="shared" si="262"/>
        <v>0.64</v>
      </c>
      <c r="P142" s="191">
        <f t="shared" ref="P142:P173" si="272">N142/Vout</f>
        <v>0.10550841200545705</v>
      </c>
      <c r="Q142" s="191">
        <f t="shared" ref="Q142:Q173" si="273">MIN(Vout,N142/F142)</f>
        <v>20</v>
      </c>
      <c r="R142" s="191"/>
      <c r="S142" s="152">
        <f t="shared" ref="S142:S173" si="274">(SQRT(Isw_max^2*Nps^2*I142^2+4*Isw_max*F142/Efficiency*(Nps^2*Vfwd1*I142-Nps*I142^2)+4*(F142/Efficiency)^2*Nps^2*Vfwd1^2+8*(F142/Efficiency)^2*Nps*Vfwd1*I142+4*(F142/Efficiency)^2*I142^2)-2*F142/Efficiency*I142-2*F142/Efficiency*Nps*Vfwd1+Isw_max*Nps*I142)/(4*F142/Efficiency*Nps)</f>
        <v>85.955256529257156</v>
      </c>
      <c r="T142" s="152">
        <f t="shared" ref="T142:T173" si="275">MIN(Vout, S142)</f>
        <v>20</v>
      </c>
      <c r="U142" s="191">
        <f t="shared" ref="U142:U173" si="276">MIN(2*Vout*F142/(Efficiency*I142*M142), Isw_max)</f>
        <v>0.228015942451638</v>
      </c>
      <c r="V142" s="191">
        <f t="shared" ref="V142:V173" si="277">L*U142/I142*1000000</f>
        <v>3.8002657075272994</v>
      </c>
      <c r="W142" s="191">
        <f t="shared" ref="W142:W173" si="278">L*U142/J142*1000000</f>
        <v>1.6831885515622882</v>
      </c>
      <c r="X142" s="175">
        <f t="shared" ref="X142:X173" si="279">IF(1/((350000*L)*(1/I142+1/J142))&gt;Isw_min, 350, 0.001/((Isw_min*L)*(1/I142+1/J142)))</f>
        <v>277.21691678035478</v>
      </c>
      <c r="Y142" s="386">
        <f t="shared" si="215"/>
        <v>182.36679887360438</v>
      </c>
      <c r="AA142" s="191">
        <f t="shared" ref="AA142:AA173" si="280">1/((X142*1000*L)*(1/I142+1/J142))</f>
        <v>0.14999999999999997</v>
      </c>
      <c r="AB142" s="153">
        <f t="shared" ref="AB142:AB173" si="281">L*AA142/J142*1000000</f>
        <v>1.1072834645669287</v>
      </c>
      <c r="AC142" s="153">
        <f t="shared" ref="AC142:AC173" si="282">0.5*AB142*AA142*Nps*X142/1000</f>
        <v>2.3021828103683487E-2</v>
      </c>
      <c r="AD142" s="153"/>
      <c r="AE142" s="153">
        <f t="shared" ref="AE142:AE173" si="283">L*Isw_min/J142*1000000</f>
        <v>1.1072834645669289</v>
      </c>
      <c r="AF142" s="317">
        <f t="shared" ref="AF142:AF173" si="284">MAX(12000,F142/(0.5*AE142/1000000*Isw_min*Nps))/1000</f>
        <v>385.32740740740741</v>
      </c>
      <c r="AG142" s="463">
        <f t="shared" ref="AG142:AG173" si="285">0.5*AE142/1000000*Isw_min*Nps*X142*1000</f>
        <v>2.3021828103683497E-2</v>
      </c>
      <c r="AI142" s="153">
        <f t="shared" ref="AI142:AI173" si="286">SQRT(F142/(0.5*L/J142*Fsw_DCM*Nps))</f>
        <v>0.15738820673432816</v>
      </c>
      <c r="AJ142" s="153">
        <f t="shared" ref="AJ142:AJ173" si="287">MAX(IF(F142&gt;AC142,U142,AI142),Isw_min)</f>
        <v>0.228015942451638</v>
      </c>
      <c r="AK142" s="153">
        <f t="shared" ref="AK142:AK173" si="288">IF(F142&gt;AG142, (AJ142-Isw_min)/1.2*0.8+1.2, AF142*0.2/350+1)</f>
        <v>1.2520106283010919</v>
      </c>
      <c r="AM142" s="317">
        <f t="shared" ref="AM142:AM173" si="289">F142*1000</f>
        <v>32</v>
      </c>
      <c r="AN142" s="147">
        <f t="shared" ref="AN142:AN173" si="290">IF(F142&gt;AG142, Y142, AF142)</f>
        <v>182.36679887360438</v>
      </c>
      <c r="AP142" s="147">
        <f t="shared" ref="AP142:AP173" si="291">IF(H142&gt;N142, "",AM142)</f>
        <v>32</v>
      </c>
      <c r="AQ142" s="147">
        <f t="shared" ref="AQ142:AQ173" si="292">IF(H142&gt;N142, "",AN142)</f>
        <v>182.36679887360438</v>
      </c>
      <c r="AS142" s="5">
        <f t="shared" si="263"/>
        <v>5.4834542590895872</v>
      </c>
      <c r="AT142" s="5">
        <f t="shared" ref="AT142:AT173" si="293">L*AJ142/I142*1000000</f>
        <v>3.8002657075272994</v>
      </c>
      <c r="AU142" s="5">
        <f t="shared" si="230"/>
        <v>1.6831885515622877</v>
      </c>
      <c r="AV142" s="5"/>
      <c r="AW142" s="153">
        <f t="shared" si="231"/>
        <v>0.69304229195088685</v>
      </c>
      <c r="AX142" s="153">
        <f t="shared" si="259"/>
        <v>0.71111111111111136</v>
      </c>
      <c r="AY142" s="153">
        <f t="shared" si="260"/>
        <v>3.4995625546806644E-2</v>
      </c>
      <c r="AZ142" s="153">
        <f t="shared" si="264"/>
        <v>20.320000000000011</v>
      </c>
      <c r="BA142" s="147">
        <f t="shared" ref="BA142:BA173" si="294">L*Isw_max^2/(2*Vout_ripple*Vout)*1000000000*((1+M142)/2)^2</f>
        <v>7.5578700647486725</v>
      </c>
      <c r="BB142" s="147">
        <f t="shared" ref="BB142:BB173" si="295">L*F142^2/(2*Cout*Vout*Nps^2)*1000000000*((1+M142)/(1-M142))^2+F142*RCoutEsr</f>
        <v>5.9368997925925902</v>
      </c>
      <c r="BC142" s="5">
        <f t="shared" si="258"/>
        <v>0.13299267567899556</v>
      </c>
      <c r="BD142" s="147">
        <f t="shared" ref="BD142:BD173" si="296">((CB142/I142/Efficiency)*AU142/Cin+(CB142/I142/Efficiency)*RCinEsr)*1000</f>
        <v>13.536304604936593</v>
      </c>
      <c r="BF142" s="153">
        <f t="shared" si="265"/>
        <v>0.10959341362604662</v>
      </c>
      <c r="BG142" s="153">
        <f t="shared" si="261"/>
        <v>7.2936321727653811E-2</v>
      </c>
      <c r="BI142" s="463">
        <f t="shared" si="236"/>
        <v>4.2037507085734092E-3</v>
      </c>
      <c r="BJ142" s="463">
        <f t="shared" si="237"/>
        <v>6.0960000000000016E-3</v>
      </c>
      <c r="BK142" s="463">
        <f t="shared" si="238"/>
        <v>2.2795849859200547E-3</v>
      </c>
      <c r="BL142" s="463">
        <f t="shared" si="239"/>
        <v>7.8386940000000037E-3</v>
      </c>
      <c r="BM142">
        <f t="shared" si="240"/>
        <v>2.6099999999999999E-3</v>
      </c>
      <c r="BN142">
        <f t="shared" ref="BN142:BN173" si="297">(I142-Vdd)*Qg*AN142</f>
        <v>1.8236679887360438E-6</v>
      </c>
      <c r="BO142" s="463">
        <f t="shared" ref="BO142:BO173" si="298">(BJ142+BK142+BL142+BM142+BN142+BI142*(1+RdsonTC*(Ta-25)))/(1-BI142*RdsonTC*ThetaJA)</f>
        <v>2.3615675837529153E-2</v>
      </c>
      <c r="BP142" s="147">
        <f t="shared" si="243"/>
        <v>23.028029694493473</v>
      </c>
      <c r="BQ142" s="463">
        <f t="shared" ref="BQ142:BQ173" si="299">(Vfwd2*F142+BG142^2*Rdiode)*(1+Diode_TC/1000*(Ta-25))</f>
        <v>1.6288256168750105E-2</v>
      </c>
      <c r="BT142" s="147">
        <f t="shared" si="245"/>
        <v>16.288256168750106</v>
      </c>
      <c r="BU142" s="463">
        <f t="shared" si="246"/>
        <v>9.6085730481677931E-3</v>
      </c>
      <c r="BV142" s="463">
        <f t="shared" si="247"/>
        <v>4.2344867936192215E-3</v>
      </c>
      <c r="BW142" s="463">
        <f t="shared" si="248"/>
        <v>0</v>
      </c>
      <c r="BX142" s="463"/>
      <c r="BY142" s="463">
        <f t="shared" si="249"/>
        <v>1.4222222222222226E-2</v>
      </c>
      <c r="BZ142" s="147">
        <f t="shared" si="250"/>
        <v>28.065282064009239</v>
      </c>
      <c r="CA142" s="153">
        <f t="shared" si="251"/>
        <v>6.738156792725282E-2</v>
      </c>
      <c r="CB142" s="5">
        <f t="shared" si="252"/>
        <v>0.64</v>
      </c>
      <c r="CC142" s="153">
        <f t="shared" si="253"/>
        <v>0.90474508952121535</v>
      </c>
      <c r="CD142" s="5">
        <f t="shared" si="254"/>
        <v>90.474508952121539</v>
      </c>
      <c r="CG142" s="59">
        <f t="shared" ref="CG142:CG173" si="300">IF(ABS(F142-Ioutmax_Vinmin)&lt;Iout/200, AN142, -50)</f>
        <v>-50</v>
      </c>
      <c r="CH142">
        <f t="shared" ref="CH142:CH173" si="301">IF(ABS(F142-Ioutmax_Vinmin)&lt;Iout/200, N142*CC142, -50)</f>
        <v>-50</v>
      </c>
    </row>
    <row r="143" spans="5:86" x14ac:dyDescent="0.25">
      <c r="E143" s="150">
        <v>33</v>
      </c>
      <c r="F143" s="191">
        <f t="shared" ref="F143:F174" si="302">IF(PLOT_TYPE=1, E143/100*Iout_max, min_I*EXP(N143*rr/100))</f>
        <v>3.3000000000000002E-2</v>
      </c>
      <c r="G143" s="191"/>
      <c r="H143" s="191">
        <f t="shared" si="266"/>
        <v>0.66</v>
      </c>
      <c r="I143" s="472">
        <f t="shared" si="267"/>
        <v>9</v>
      </c>
      <c r="J143" s="386">
        <f t="shared" si="268"/>
        <v>20.32</v>
      </c>
      <c r="K143" s="386">
        <f t="shared" si="269"/>
        <v>29.32</v>
      </c>
      <c r="L143" s="386"/>
      <c r="M143" s="191">
        <f t="shared" si="270"/>
        <v>0.69304229195088674</v>
      </c>
      <c r="N143" s="152">
        <f t="shared" si="271"/>
        <v>2.1101682401091408</v>
      </c>
      <c r="O143" s="152">
        <f t="shared" si="262"/>
        <v>0.66</v>
      </c>
      <c r="P143" s="191">
        <f t="shared" si="272"/>
        <v>0.10550841200545705</v>
      </c>
      <c r="Q143" s="191">
        <f t="shared" si="273"/>
        <v>20</v>
      </c>
      <c r="R143" s="191"/>
      <c r="S143" s="152">
        <f t="shared" si="274"/>
        <v>83.079986924969077</v>
      </c>
      <c r="T143" s="152">
        <f t="shared" si="275"/>
        <v>20</v>
      </c>
      <c r="U143" s="191">
        <f t="shared" si="276"/>
        <v>0.23514144065325171</v>
      </c>
      <c r="V143" s="191">
        <f t="shared" si="277"/>
        <v>3.9190240108875276</v>
      </c>
      <c r="W143" s="191">
        <f t="shared" si="278"/>
        <v>1.7357881937986097</v>
      </c>
      <c r="X143" s="175">
        <f t="shared" si="279"/>
        <v>277.21691678035478</v>
      </c>
      <c r="Y143" s="386">
        <f t="shared" si="215"/>
        <v>176.84053224107089</v>
      </c>
      <c r="AA143" s="191">
        <f t="shared" si="280"/>
        <v>0.14999999999999997</v>
      </c>
      <c r="AB143" s="153">
        <f t="shared" si="281"/>
        <v>1.1072834645669287</v>
      </c>
      <c r="AC143" s="153">
        <f t="shared" si="282"/>
        <v>2.3021828103683487E-2</v>
      </c>
      <c r="AD143" s="153"/>
      <c r="AE143" s="153">
        <f t="shared" si="283"/>
        <v>1.1072834645669289</v>
      </c>
      <c r="AF143" s="317">
        <f t="shared" si="284"/>
        <v>397.36888888888893</v>
      </c>
      <c r="AG143" s="463">
        <f t="shared" si="285"/>
        <v>2.3021828103683497E-2</v>
      </c>
      <c r="AI143" s="153">
        <f t="shared" si="286"/>
        <v>0.15982847949330828</v>
      </c>
      <c r="AJ143" s="153">
        <f t="shared" si="287"/>
        <v>0.23514144065325171</v>
      </c>
      <c r="AK143" s="153">
        <f t="shared" si="288"/>
        <v>1.256760960435501</v>
      </c>
      <c r="AM143" s="317">
        <f t="shared" si="289"/>
        <v>33</v>
      </c>
      <c r="AN143" s="147">
        <f t="shared" si="290"/>
        <v>176.84053224107089</v>
      </c>
      <c r="AP143" s="147">
        <f t="shared" si="291"/>
        <v>33</v>
      </c>
      <c r="AQ143" s="147">
        <f t="shared" si="292"/>
        <v>176.84053224107089</v>
      </c>
      <c r="AS143" s="5">
        <f t="shared" si="263"/>
        <v>5.6548122046861371</v>
      </c>
      <c r="AT143" s="5">
        <f t="shared" si="293"/>
        <v>3.9190240108875276</v>
      </c>
      <c r="AU143" s="5">
        <f t="shared" si="230"/>
        <v>1.7357881937986095</v>
      </c>
      <c r="AV143" s="5"/>
      <c r="AW143" s="153">
        <f t="shared" si="231"/>
        <v>0.69304229195088674</v>
      </c>
      <c r="AX143" s="153">
        <f t="shared" si="259"/>
        <v>0.7333333333333335</v>
      </c>
      <c r="AY143" s="153">
        <f t="shared" si="260"/>
        <v>3.6089238845144367E-2</v>
      </c>
      <c r="AZ143" s="153">
        <f t="shared" si="264"/>
        <v>20.32</v>
      </c>
      <c r="BA143" s="147">
        <f t="shared" si="294"/>
        <v>7.5578700647486725</v>
      </c>
      <c r="BB143" s="147">
        <f t="shared" si="295"/>
        <v>6.3106600333333338</v>
      </c>
      <c r="BC143" s="5">
        <f t="shared" si="258"/>
        <v>0.14143459356877561</v>
      </c>
      <c r="BD143" s="147">
        <f t="shared" si="296"/>
        <v>14.387903801322002</v>
      </c>
      <c r="BF143" s="153">
        <f t="shared" si="265"/>
        <v>0.11301820780186057</v>
      </c>
      <c r="BG143" s="153">
        <f t="shared" si="261"/>
        <v>7.5215581781643004E-2</v>
      </c>
      <c r="BI143" s="463">
        <f t="shared" si="236"/>
        <v>4.4705903531605876E-3</v>
      </c>
      <c r="BJ143" s="463">
        <f t="shared" si="237"/>
        <v>6.0960000000000016E-3</v>
      </c>
      <c r="BK143" s="463">
        <f t="shared" si="238"/>
        <v>2.2105066530133857E-3</v>
      </c>
      <c r="BL143" s="463">
        <f t="shared" si="239"/>
        <v>7.6011578181818199E-3</v>
      </c>
      <c r="BM143">
        <f t="shared" si="240"/>
        <v>2.6099999999999999E-3</v>
      </c>
      <c r="BN143">
        <f t="shared" si="297"/>
        <v>1.768405322410709E-6</v>
      </c>
      <c r="BO143" s="463">
        <f t="shared" si="298"/>
        <v>2.3613029518929501E-2</v>
      </c>
      <c r="BP143" s="147">
        <f t="shared" si="243"/>
        <v>22.988254824355796</v>
      </c>
      <c r="BQ143" s="463">
        <f t="shared" si="299"/>
        <v>1.6928241179461789E-2</v>
      </c>
      <c r="BT143" s="147">
        <f t="shared" si="245"/>
        <v>16.928241179461789</v>
      </c>
      <c r="BU143" s="463">
        <f t="shared" si="246"/>
        <v>1.021849223579563E-2</v>
      </c>
      <c r="BV143" s="463">
        <f t="shared" si="247"/>
        <v>4.5032774592298173E-3</v>
      </c>
      <c r="BW143" s="463">
        <f t="shared" si="248"/>
        <v>0</v>
      </c>
      <c r="BX143" s="463"/>
      <c r="BY143" s="463">
        <f t="shared" si="249"/>
        <v>1.4666666666666673E-2</v>
      </c>
      <c r="BZ143" s="147">
        <f t="shared" si="250"/>
        <v>29.388436361692122</v>
      </c>
      <c r="CA143" s="153">
        <f t="shared" si="251"/>
        <v>6.9304932365509705E-2</v>
      </c>
      <c r="CB143" s="5">
        <f t="shared" si="252"/>
        <v>0.66</v>
      </c>
      <c r="CC143" s="153">
        <f t="shared" si="253"/>
        <v>0.90497125510900045</v>
      </c>
      <c r="CD143" s="5">
        <f t="shared" si="254"/>
        <v>90.497125510900048</v>
      </c>
      <c r="CG143" s="59">
        <f t="shared" si="300"/>
        <v>-50</v>
      </c>
      <c r="CH143">
        <f t="shared" si="301"/>
        <v>-50</v>
      </c>
    </row>
    <row r="144" spans="5:86" x14ac:dyDescent="0.25">
      <c r="E144" s="150">
        <v>34</v>
      </c>
      <c r="F144" s="191">
        <f t="shared" si="302"/>
        <v>3.4000000000000002E-2</v>
      </c>
      <c r="G144" s="191"/>
      <c r="H144" s="191">
        <f t="shared" si="266"/>
        <v>0.68</v>
      </c>
      <c r="I144" s="472">
        <f t="shared" si="267"/>
        <v>9</v>
      </c>
      <c r="J144" s="386">
        <f t="shared" si="268"/>
        <v>20.32</v>
      </c>
      <c r="K144" s="386">
        <f t="shared" si="269"/>
        <v>29.32</v>
      </c>
      <c r="L144" s="386"/>
      <c r="M144" s="191">
        <f t="shared" si="270"/>
        <v>0.69304229195088674</v>
      </c>
      <c r="N144" s="152">
        <f t="shared" si="271"/>
        <v>2.1101682401091408</v>
      </c>
      <c r="O144" s="152">
        <f t="shared" si="262"/>
        <v>0.68</v>
      </c>
      <c r="P144" s="191">
        <f t="shared" si="272"/>
        <v>0.10550841200545705</v>
      </c>
      <c r="Q144" s="191">
        <f t="shared" si="273"/>
        <v>20</v>
      </c>
      <c r="R144" s="191"/>
      <c r="S144" s="152">
        <f t="shared" si="274"/>
        <v>80.373925712876641</v>
      </c>
      <c r="T144" s="152">
        <f t="shared" si="275"/>
        <v>20</v>
      </c>
      <c r="U144" s="191">
        <f t="shared" si="276"/>
        <v>0.24226693885486539</v>
      </c>
      <c r="V144" s="191">
        <f t="shared" si="277"/>
        <v>4.0377823142477558</v>
      </c>
      <c r="W144" s="191">
        <f t="shared" si="278"/>
        <v>1.7883878360349312</v>
      </c>
      <c r="X144" s="175">
        <f t="shared" si="279"/>
        <v>277.21691678035478</v>
      </c>
      <c r="Y144" s="386">
        <f t="shared" si="215"/>
        <v>171.6393401163335</v>
      </c>
      <c r="AA144" s="191">
        <f t="shared" si="280"/>
        <v>0.14999999999999997</v>
      </c>
      <c r="AB144" s="153">
        <f t="shared" si="281"/>
        <v>1.1072834645669287</v>
      </c>
      <c r="AC144" s="153">
        <f t="shared" si="282"/>
        <v>2.3021828103683487E-2</v>
      </c>
      <c r="AD144" s="153"/>
      <c r="AE144" s="153">
        <f t="shared" si="283"/>
        <v>1.1072834645669289</v>
      </c>
      <c r="AF144" s="317">
        <f t="shared" si="284"/>
        <v>409.41037037037046</v>
      </c>
      <c r="AG144" s="463">
        <f t="shared" si="285"/>
        <v>2.3021828103683497E-2</v>
      </c>
      <c r="AI144" s="153">
        <f t="shared" si="286"/>
        <v>0.16223205014804595</v>
      </c>
      <c r="AJ144" s="153">
        <f t="shared" si="287"/>
        <v>0.24226693885486539</v>
      </c>
      <c r="AK144" s="153">
        <f t="shared" si="288"/>
        <v>1.2615112925699101</v>
      </c>
      <c r="AM144" s="317">
        <f t="shared" si="289"/>
        <v>34</v>
      </c>
      <c r="AN144" s="147">
        <f t="shared" si="290"/>
        <v>171.6393401163335</v>
      </c>
      <c r="AP144" s="147">
        <f t="shared" si="291"/>
        <v>34</v>
      </c>
      <c r="AQ144" s="147">
        <f t="shared" si="292"/>
        <v>171.6393401163335</v>
      </c>
      <c r="AS144" s="5">
        <f t="shared" si="263"/>
        <v>5.826170150282687</v>
      </c>
      <c r="AT144" s="5">
        <f t="shared" si="293"/>
        <v>4.0377823142477558</v>
      </c>
      <c r="AU144" s="5">
        <f t="shared" si="230"/>
        <v>1.7883878360349312</v>
      </c>
      <c r="AV144" s="5"/>
      <c r="AW144" s="153">
        <f t="shared" si="231"/>
        <v>0.69304229195088674</v>
      </c>
      <c r="AX144" s="153">
        <f t="shared" si="259"/>
        <v>0.75555555555555565</v>
      </c>
      <c r="AY144" s="153">
        <f t="shared" si="260"/>
        <v>3.7182852143482069E-2</v>
      </c>
      <c r="AZ144" s="153">
        <f t="shared" si="264"/>
        <v>20.32</v>
      </c>
      <c r="BA144" s="147">
        <f t="shared" si="294"/>
        <v>7.5578700647486725</v>
      </c>
      <c r="BB144" s="147">
        <f t="shared" si="295"/>
        <v>6.6958282814814813</v>
      </c>
      <c r="BC144" s="5">
        <f t="shared" si="258"/>
        <v>0.15013626277824113</v>
      </c>
      <c r="BD144" s="147">
        <f t="shared" si="296"/>
        <v>15.265478129675966</v>
      </c>
      <c r="BF144" s="153">
        <f t="shared" si="265"/>
        <v>0.11644300197767453</v>
      </c>
      <c r="BG144" s="153">
        <f t="shared" si="261"/>
        <v>7.7494841835632183E-2</v>
      </c>
      <c r="BI144" s="463">
        <f t="shared" si="236"/>
        <v>4.7456404483504494E-3</v>
      </c>
      <c r="BJ144" s="463">
        <f t="shared" si="237"/>
        <v>6.0959999999999999E-3</v>
      </c>
      <c r="BK144" s="463">
        <f t="shared" si="238"/>
        <v>2.1454917514541687E-3</v>
      </c>
      <c r="BL144" s="463">
        <f t="shared" si="239"/>
        <v>7.3775943529411784E-3</v>
      </c>
      <c r="BM144">
        <f t="shared" si="240"/>
        <v>2.6099999999999999E-3</v>
      </c>
      <c r="BN144">
        <f t="shared" si="297"/>
        <v>1.7163934011633349E-6</v>
      </c>
      <c r="BO144" s="463">
        <f t="shared" si="298"/>
        <v>2.3637800971736359E-2</v>
      </c>
      <c r="BP144" s="147">
        <f t="shared" si="243"/>
        <v>22.974726552745796</v>
      </c>
      <c r="BQ144" s="463">
        <f t="shared" si="299"/>
        <v>1.7576164190503053E-2</v>
      </c>
      <c r="BT144" s="147">
        <f t="shared" si="245"/>
        <v>17.576164190503054</v>
      </c>
      <c r="BU144" s="463">
        <f t="shared" si="246"/>
        <v>1.0847178167658171E-2</v>
      </c>
      <c r="BV144" s="463">
        <f t="shared" si="247"/>
        <v>4.7803386068592003E-3</v>
      </c>
      <c r="BW144" s="463">
        <f t="shared" si="248"/>
        <v>0</v>
      </c>
      <c r="BX144" s="463"/>
      <c r="BY144" s="463">
        <f t="shared" si="249"/>
        <v>1.5111111111111115E-2</v>
      </c>
      <c r="BZ144" s="147">
        <f t="shared" si="250"/>
        <v>30.738627885628485</v>
      </c>
      <c r="CA144" s="153">
        <f t="shared" si="251"/>
        <v>7.1289518628877335E-2</v>
      </c>
      <c r="CB144" s="5">
        <f t="shared" si="252"/>
        <v>0.68</v>
      </c>
      <c r="CC144" s="153">
        <f t="shared" si="253"/>
        <v>0.905110457604969</v>
      </c>
      <c r="CD144" s="5">
        <f t="shared" si="254"/>
        <v>90.511045760496899</v>
      </c>
      <c r="CG144" s="59">
        <f t="shared" si="300"/>
        <v>-50</v>
      </c>
      <c r="CH144">
        <f t="shared" si="301"/>
        <v>-50</v>
      </c>
    </row>
    <row r="145" spans="5:86" x14ac:dyDescent="0.25">
      <c r="E145" s="150">
        <v>35</v>
      </c>
      <c r="F145" s="191">
        <f t="shared" si="302"/>
        <v>3.4999999999999996E-2</v>
      </c>
      <c r="G145" s="191"/>
      <c r="H145" s="191">
        <f t="shared" si="266"/>
        <v>0.7</v>
      </c>
      <c r="I145" s="472">
        <f t="shared" si="267"/>
        <v>9</v>
      </c>
      <c r="J145" s="386">
        <f t="shared" si="268"/>
        <v>20.32</v>
      </c>
      <c r="K145" s="386">
        <f t="shared" si="269"/>
        <v>29.32</v>
      </c>
      <c r="L145" s="386"/>
      <c r="M145" s="191">
        <f t="shared" si="270"/>
        <v>0.69304229195088674</v>
      </c>
      <c r="N145" s="152">
        <f t="shared" si="271"/>
        <v>2.1101682401091408</v>
      </c>
      <c r="O145" s="152">
        <f t="shared" si="262"/>
        <v>0.7</v>
      </c>
      <c r="P145" s="191">
        <f t="shared" si="272"/>
        <v>0.10550841200545705</v>
      </c>
      <c r="Q145" s="191">
        <f t="shared" si="273"/>
        <v>20</v>
      </c>
      <c r="R145" s="191"/>
      <c r="S145" s="152">
        <f t="shared" si="274"/>
        <v>77.822569997013659</v>
      </c>
      <c r="T145" s="152">
        <f t="shared" si="275"/>
        <v>20</v>
      </c>
      <c r="U145" s="191">
        <f t="shared" si="276"/>
        <v>0.24939243705647907</v>
      </c>
      <c r="V145" s="191">
        <f t="shared" si="277"/>
        <v>4.156540617607984</v>
      </c>
      <c r="W145" s="191">
        <f t="shared" si="278"/>
        <v>1.840987478271253</v>
      </c>
      <c r="X145" s="175">
        <f t="shared" si="279"/>
        <v>277.21691678035478</v>
      </c>
      <c r="Y145" s="386">
        <f t="shared" si="215"/>
        <v>166.73535897015253</v>
      </c>
      <c r="AA145" s="191">
        <f t="shared" si="280"/>
        <v>0.14999999999999997</v>
      </c>
      <c r="AB145" s="153">
        <f t="shared" si="281"/>
        <v>1.1072834645669287</v>
      </c>
      <c r="AC145" s="153">
        <f t="shared" si="282"/>
        <v>2.3021828103683487E-2</v>
      </c>
      <c r="AD145" s="153"/>
      <c r="AE145" s="153">
        <f t="shared" si="283"/>
        <v>1.1072834645669289</v>
      </c>
      <c r="AF145" s="317">
        <f t="shared" si="284"/>
        <v>421.45185185185187</v>
      </c>
      <c r="AG145" s="463">
        <f t="shared" si="285"/>
        <v>2.3021828103683497E-2</v>
      </c>
      <c r="AI145" s="153">
        <f t="shared" si="286"/>
        <v>0.16460052652811696</v>
      </c>
      <c r="AJ145" s="153">
        <f t="shared" si="287"/>
        <v>0.24939243705647907</v>
      </c>
      <c r="AK145" s="153">
        <f t="shared" si="288"/>
        <v>1.2662616247043192</v>
      </c>
      <c r="AM145" s="317">
        <f t="shared" si="289"/>
        <v>34.999999999999993</v>
      </c>
      <c r="AN145" s="147">
        <f t="shared" si="290"/>
        <v>166.73535897015253</v>
      </c>
      <c r="AP145" s="147">
        <f t="shared" si="291"/>
        <v>34.999999999999993</v>
      </c>
      <c r="AQ145" s="147">
        <f t="shared" si="292"/>
        <v>166.73535897015253</v>
      </c>
      <c r="AS145" s="5">
        <f t="shared" si="263"/>
        <v>5.997528095879237</v>
      </c>
      <c r="AT145" s="5">
        <f t="shared" si="293"/>
        <v>4.156540617607984</v>
      </c>
      <c r="AU145" s="5">
        <f t="shared" si="230"/>
        <v>1.840987478271253</v>
      </c>
      <c r="AV145" s="5"/>
      <c r="AW145" s="153">
        <f t="shared" si="231"/>
        <v>0.69304229195088674</v>
      </c>
      <c r="AX145" s="153">
        <f t="shared" si="259"/>
        <v>0.77777777777777768</v>
      </c>
      <c r="AY145" s="153">
        <f t="shared" si="260"/>
        <v>3.8276465441819778E-2</v>
      </c>
      <c r="AZ145" s="153">
        <f t="shared" si="264"/>
        <v>20.319999999999993</v>
      </c>
      <c r="BA145" s="147">
        <f t="shared" si="294"/>
        <v>7.5578700647486725</v>
      </c>
      <c r="BB145" s="147">
        <f t="shared" si="295"/>
        <v>7.0924045370370337</v>
      </c>
      <c r="BC145" s="5">
        <f t="shared" si="258"/>
        <v>0.15909768330739221</v>
      </c>
      <c r="BD145" s="147">
        <f t="shared" si="296"/>
        <v>16.169027589998478</v>
      </c>
      <c r="BF145" s="153">
        <f t="shared" si="265"/>
        <v>0.11986779615348847</v>
      </c>
      <c r="BG145" s="153">
        <f t="shared" si="261"/>
        <v>7.9774101889621363E-2</v>
      </c>
      <c r="BI145" s="463">
        <f t="shared" si="236"/>
        <v>5.028900994142993E-3</v>
      </c>
      <c r="BJ145" s="463">
        <f t="shared" si="237"/>
        <v>6.0959999999999999E-3</v>
      </c>
      <c r="BK145" s="463">
        <f t="shared" si="238"/>
        <v>2.0841919871269063E-3</v>
      </c>
      <c r="BL145" s="463">
        <f t="shared" si="239"/>
        <v>7.166805942857144E-3</v>
      </c>
      <c r="BM145">
        <f t="shared" si="240"/>
        <v>2.6099999999999999E-3</v>
      </c>
      <c r="BN145">
        <f t="shared" si="297"/>
        <v>1.6673535897015254E-6</v>
      </c>
      <c r="BO145" s="463">
        <f t="shared" si="298"/>
        <v>2.3688446816441989E-2</v>
      </c>
      <c r="BP145" s="147">
        <f t="shared" si="243"/>
        <v>22.985898924127046</v>
      </c>
      <c r="BQ145" s="463">
        <f t="shared" si="299"/>
        <v>1.8232025201873905E-2</v>
      </c>
      <c r="BT145" s="147">
        <f t="shared" si="245"/>
        <v>18.232025201873906</v>
      </c>
      <c r="BU145" s="463">
        <f t="shared" si="246"/>
        <v>1.1494630843755413E-2</v>
      </c>
      <c r="BV145" s="463">
        <f t="shared" si="247"/>
        <v>5.0656702365073697E-3</v>
      </c>
      <c r="BW145" s="463">
        <f t="shared" si="248"/>
        <v>0</v>
      </c>
      <c r="BX145" s="463"/>
      <c r="BY145" s="463">
        <f t="shared" si="249"/>
        <v>1.5555555555555559E-2</v>
      </c>
      <c r="BZ145" s="147">
        <f t="shared" si="250"/>
        <v>32.115856635818339</v>
      </c>
      <c r="CA145" s="153">
        <f t="shared" si="251"/>
        <v>7.3333780761819289E-2</v>
      </c>
      <c r="CB145" s="5">
        <f t="shared" si="252"/>
        <v>0.7</v>
      </c>
      <c r="CC145" s="153">
        <f t="shared" si="253"/>
        <v>0.90517189008660992</v>
      </c>
      <c r="CD145" s="5">
        <f t="shared" si="254"/>
        <v>90.517189008660992</v>
      </c>
      <c r="CG145" s="59">
        <f t="shared" si="300"/>
        <v>-50</v>
      </c>
      <c r="CH145">
        <f t="shared" si="301"/>
        <v>-50</v>
      </c>
    </row>
    <row r="146" spans="5:86" x14ac:dyDescent="0.25">
      <c r="E146" s="150">
        <v>36</v>
      </c>
      <c r="F146" s="191">
        <f t="shared" si="302"/>
        <v>3.5999999999999997E-2</v>
      </c>
      <c r="G146" s="191"/>
      <c r="H146" s="191">
        <f t="shared" si="266"/>
        <v>0.72</v>
      </c>
      <c r="I146" s="472">
        <f t="shared" si="267"/>
        <v>9</v>
      </c>
      <c r="J146" s="386">
        <f t="shared" si="268"/>
        <v>20.32</v>
      </c>
      <c r="K146" s="386">
        <f t="shared" si="269"/>
        <v>29.32</v>
      </c>
      <c r="L146" s="386"/>
      <c r="M146" s="191">
        <f t="shared" si="270"/>
        <v>0.69304229195088674</v>
      </c>
      <c r="N146" s="152">
        <f t="shared" si="271"/>
        <v>2.1101682401091408</v>
      </c>
      <c r="O146" s="152">
        <f t="shared" si="262"/>
        <v>0.72</v>
      </c>
      <c r="P146" s="191">
        <f t="shared" si="272"/>
        <v>0.10550841200545705</v>
      </c>
      <c r="Q146" s="191">
        <f t="shared" si="273"/>
        <v>20</v>
      </c>
      <c r="R146" s="191"/>
      <c r="S146" s="152">
        <f t="shared" si="274"/>
        <v>75.413028322170746</v>
      </c>
      <c r="T146" s="152">
        <f t="shared" si="275"/>
        <v>20</v>
      </c>
      <c r="U146" s="191">
        <f t="shared" si="276"/>
        <v>0.25651793525809274</v>
      </c>
      <c r="V146" s="191">
        <f t="shared" si="277"/>
        <v>4.2752989209682122</v>
      </c>
      <c r="W146" s="191">
        <f t="shared" si="278"/>
        <v>1.8935871205075741</v>
      </c>
      <c r="X146" s="175">
        <f t="shared" si="279"/>
        <v>277.21691678035478</v>
      </c>
      <c r="Y146" s="386">
        <f t="shared" si="215"/>
        <v>162.10382122098167</v>
      </c>
      <c r="AA146" s="191">
        <f t="shared" si="280"/>
        <v>0.14999999999999997</v>
      </c>
      <c r="AB146" s="153">
        <f t="shared" si="281"/>
        <v>1.1072834645669287</v>
      </c>
      <c r="AC146" s="153">
        <f t="shared" si="282"/>
        <v>2.3021828103683487E-2</v>
      </c>
      <c r="AD146" s="153"/>
      <c r="AE146" s="153">
        <f t="shared" si="283"/>
        <v>1.1072834645669289</v>
      </c>
      <c r="AF146" s="317">
        <f t="shared" si="284"/>
        <v>433.49333333333334</v>
      </c>
      <c r="AG146" s="463">
        <f t="shared" si="285"/>
        <v>2.3021828103683497E-2</v>
      </c>
      <c r="AI146" s="153">
        <f t="shared" si="286"/>
        <v>0.16693540239095053</v>
      </c>
      <c r="AJ146" s="153">
        <f t="shared" si="287"/>
        <v>0.25651793525809274</v>
      </c>
      <c r="AK146" s="153">
        <f t="shared" si="288"/>
        <v>1.2710119568387284</v>
      </c>
      <c r="AM146" s="317">
        <f t="shared" si="289"/>
        <v>36</v>
      </c>
      <c r="AN146" s="147">
        <f t="shared" si="290"/>
        <v>162.10382122098167</v>
      </c>
      <c r="AP146" s="147">
        <f t="shared" si="291"/>
        <v>36</v>
      </c>
      <c r="AQ146" s="147">
        <f t="shared" si="292"/>
        <v>162.10382122098167</v>
      </c>
      <c r="AS146" s="5">
        <f t="shared" si="263"/>
        <v>6.1688860414757851</v>
      </c>
      <c r="AT146" s="5">
        <f t="shared" si="293"/>
        <v>4.2752989209682122</v>
      </c>
      <c r="AU146" s="5">
        <f t="shared" si="230"/>
        <v>1.8935871205075729</v>
      </c>
      <c r="AV146" s="5"/>
      <c r="AW146" s="153">
        <f t="shared" si="231"/>
        <v>0.69304229195088696</v>
      </c>
      <c r="AX146" s="153">
        <f t="shared" si="259"/>
        <v>0.80000000000000027</v>
      </c>
      <c r="AY146" s="153">
        <f t="shared" si="260"/>
        <v>3.9370078740157459E-2</v>
      </c>
      <c r="AZ146" s="153">
        <f t="shared" si="264"/>
        <v>20.320000000000018</v>
      </c>
      <c r="BA146" s="147">
        <f t="shared" si="294"/>
        <v>7.5578700647486725</v>
      </c>
      <c r="BB146" s="147">
        <f t="shared" si="295"/>
        <v>7.500388799999997</v>
      </c>
      <c r="BC146" s="5">
        <f t="shared" si="258"/>
        <v>0.16831885515622869</v>
      </c>
      <c r="BD146" s="147">
        <f t="shared" si="296"/>
        <v>17.098552182289538</v>
      </c>
      <c r="BF146" s="153">
        <f t="shared" si="265"/>
        <v>0.12329259032930245</v>
      </c>
      <c r="BG146" s="153">
        <f t="shared" si="261"/>
        <v>8.2053361943610501E-2</v>
      </c>
      <c r="BI146" s="463">
        <f t="shared" si="236"/>
        <v>5.3203719905382217E-3</v>
      </c>
      <c r="BJ146" s="463">
        <f t="shared" si="237"/>
        <v>6.0960000000000016E-3</v>
      </c>
      <c r="BK146" s="463">
        <f t="shared" si="238"/>
        <v>2.0262977652622709E-3</v>
      </c>
      <c r="BL146" s="463">
        <f t="shared" si="239"/>
        <v>6.9677280000000029E-3</v>
      </c>
      <c r="BM146">
        <f t="shared" si="240"/>
        <v>2.6099999999999999E-3</v>
      </c>
      <c r="BN146">
        <f t="shared" si="297"/>
        <v>1.6210382122098168E-6</v>
      </c>
      <c r="BO146" s="463">
        <f t="shared" si="298"/>
        <v>2.376359556327368E-2</v>
      </c>
      <c r="BP146" s="147">
        <f t="shared" si="243"/>
        <v>23.020397755800495</v>
      </c>
      <c r="BQ146" s="463">
        <f t="shared" si="299"/>
        <v>1.8895824213574348E-2</v>
      </c>
      <c r="BT146" s="147">
        <f t="shared" si="245"/>
        <v>18.895824213574347</v>
      </c>
      <c r="BU146" s="463">
        <f t="shared" si="246"/>
        <v>1.2160850264087364E-2</v>
      </c>
      <c r="BV146" s="463">
        <f t="shared" si="247"/>
        <v>5.3592723481743218E-3</v>
      </c>
      <c r="BW146" s="463">
        <f t="shared" si="248"/>
        <v>0</v>
      </c>
      <c r="BX146" s="463"/>
      <c r="BY146" s="463">
        <f t="shared" si="249"/>
        <v>1.6000000000000007E-2</v>
      </c>
      <c r="BZ146" s="147">
        <f t="shared" si="250"/>
        <v>33.520122612261694</v>
      </c>
      <c r="CA146" s="153">
        <f t="shared" si="251"/>
        <v>7.5436344581636533E-2</v>
      </c>
      <c r="CB146" s="5">
        <f t="shared" si="252"/>
        <v>0.72</v>
      </c>
      <c r="CC146" s="153">
        <f t="shared" si="253"/>
        <v>0.90516356827859978</v>
      </c>
      <c r="CD146" s="5">
        <f t="shared" si="254"/>
        <v>90.51635682785998</v>
      </c>
      <c r="CG146" s="59">
        <f t="shared" si="300"/>
        <v>-50</v>
      </c>
      <c r="CH146">
        <f t="shared" si="301"/>
        <v>-50</v>
      </c>
    </row>
    <row r="147" spans="5:86" x14ac:dyDescent="0.25">
      <c r="E147" s="150">
        <v>37</v>
      </c>
      <c r="F147" s="191">
        <f t="shared" si="302"/>
        <v>3.6999999999999998E-2</v>
      </c>
      <c r="G147" s="191"/>
      <c r="H147" s="191">
        <f t="shared" si="266"/>
        <v>0.74</v>
      </c>
      <c r="I147" s="472">
        <f t="shared" si="267"/>
        <v>9</v>
      </c>
      <c r="J147" s="386">
        <f t="shared" si="268"/>
        <v>20.32</v>
      </c>
      <c r="K147" s="386">
        <f t="shared" si="269"/>
        <v>29.32</v>
      </c>
      <c r="L147" s="386"/>
      <c r="M147" s="191">
        <f t="shared" si="270"/>
        <v>0.69304229195088674</v>
      </c>
      <c r="N147" s="152">
        <f t="shared" si="271"/>
        <v>2.1101682401091408</v>
      </c>
      <c r="O147" s="152">
        <f t="shared" si="262"/>
        <v>0.74</v>
      </c>
      <c r="P147" s="191">
        <f t="shared" si="272"/>
        <v>0.10550841200545705</v>
      </c>
      <c r="Q147" s="191">
        <f t="shared" si="273"/>
        <v>20</v>
      </c>
      <c r="R147" s="191"/>
      <c r="S147" s="152">
        <f t="shared" si="274"/>
        <v>73.13380291173867</v>
      </c>
      <c r="T147" s="152">
        <f t="shared" si="275"/>
        <v>20</v>
      </c>
      <c r="U147" s="191">
        <f t="shared" si="276"/>
        <v>0.26364343345970642</v>
      </c>
      <c r="V147" s="191">
        <f t="shared" si="277"/>
        <v>4.3940572243284404</v>
      </c>
      <c r="W147" s="191">
        <f t="shared" si="278"/>
        <v>1.9461867627438958</v>
      </c>
      <c r="X147" s="175">
        <f t="shared" si="279"/>
        <v>277.21691678035478</v>
      </c>
      <c r="Y147" s="386">
        <f t="shared" si="215"/>
        <v>157.72263686365781</v>
      </c>
      <c r="AA147" s="191">
        <f t="shared" si="280"/>
        <v>0.14999999999999997</v>
      </c>
      <c r="AB147" s="153">
        <f t="shared" si="281"/>
        <v>1.1072834645669287</v>
      </c>
      <c r="AC147" s="153">
        <f t="shared" si="282"/>
        <v>2.3021828103683487E-2</v>
      </c>
      <c r="AD147" s="153"/>
      <c r="AE147" s="153">
        <f t="shared" si="283"/>
        <v>1.1072834645669289</v>
      </c>
      <c r="AF147" s="317">
        <f t="shared" si="284"/>
        <v>445.53481481481481</v>
      </c>
      <c r="AG147" s="463">
        <f t="shared" si="285"/>
        <v>2.3021828103683497E-2</v>
      </c>
      <c r="AI147" s="153">
        <f t="shared" si="286"/>
        <v>0.16923806844065495</v>
      </c>
      <c r="AJ147" s="153">
        <f t="shared" si="287"/>
        <v>0.26364343345970642</v>
      </c>
      <c r="AK147" s="153">
        <f t="shared" si="288"/>
        <v>1.2757622889731377</v>
      </c>
      <c r="AM147" s="317">
        <f t="shared" si="289"/>
        <v>37</v>
      </c>
      <c r="AN147" s="147">
        <f t="shared" si="290"/>
        <v>157.72263686365781</v>
      </c>
      <c r="AP147" s="147">
        <f t="shared" si="291"/>
        <v>37</v>
      </c>
      <c r="AQ147" s="147">
        <f t="shared" si="292"/>
        <v>157.72263686365781</v>
      </c>
      <c r="AS147" s="5">
        <f t="shared" si="263"/>
        <v>6.3402439870723359</v>
      </c>
      <c r="AT147" s="5">
        <f t="shared" si="293"/>
        <v>4.3940572243284404</v>
      </c>
      <c r="AU147" s="5">
        <f t="shared" si="230"/>
        <v>1.9461867627438956</v>
      </c>
      <c r="AV147" s="5"/>
      <c r="AW147" s="153">
        <f t="shared" si="231"/>
        <v>0.69304229195088685</v>
      </c>
      <c r="AX147" s="153">
        <f t="shared" si="259"/>
        <v>0.82222222222222208</v>
      </c>
      <c r="AY147" s="153">
        <f t="shared" si="260"/>
        <v>4.0463692038495175E-2</v>
      </c>
      <c r="AZ147" s="153">
        <f t="shared" si="264"/>
        <v>20.320000000000004</v>
      </c>
      <c r="BA147" s="147">
        <f t="shared" si="294"/>
        <v>7.5578700647486725</v>
      </c>
      <c r="BB147" s="147">
        <f t="shared" si="295"/>
        <v>7.9197810703703677</v>
      </c>
      <c r="BC147" s="5">
        <f t="shared" si="258"/>
        <v>0.17779977832475094</v>
      </c>
      <c r="BD147" s="147">
        <f t="shared" si="296"/>
        <v>18.054051906549166</v>
      </c>
      <c r="BF147" s="153">
        <f t="shared" si="265"/>
        <v>0.12671738450511638</v>
      </c>
      <c r="BG147" s="153">
        <f t="shared" si="261"/>
        <v>8.4332621997599708E-2</v>
      </c>
      <c r="BI147" s="463">
        <f t="shared" si="236"/>
        <v>5.620053437536127E-3</v>
      </c>
      <c r="BJ147" s="463">
        <f t="shared" si="237"/>
        <v>6.0959999999999999E-3</v>
      </c>
      <c r="BK147" s="463">
        <f t="shared" si="238"/>
        <v>1.9715329607957223E-3</v>
      </c>
      <c r="BL147" s="463">
        <f t="shared" si="239"/>
        <v>6.7794110270270281E-3</v>
      </c>
      <c r="BM147">
        <f t="shared" si="240"/>
        <v>2.6099999999999999E-3</v>
      </c>
      <c r="BN147">
        <f t="shared" si="297"/>
        <v>1.5772263686365781E-6</v>
      </c>
      <c r="BO147" s="463">
        <f t="shared" si="298"/>
        <v>2.3862024395531454E-2</v>
      </c>
      <c r="BP147" s="147">
        <f t="shared" si="243"/>
        <v>23.076997425358879</v>
      </c>
      <c r="BQ147" s="463">
        <f t="shared" si="299"/>
        <v>1.956756122560439E-2</v>
      </c>
      <c r="BT147" s="147">
        <f t="shared" si="245"/>
        <v>19.56756122560439</v>
      </c>
      <c r="BU147" s="463">
        <f t="shared" si="246"/>
        <v>1.2845836428654007E-2</v>
      </c>
      <c r="BV147" s="463">
        <f t="shared" si="247"/>
        <v>5.6611449418600707E-3</v>
      </c>
      <c r="BW147" s="463">
        <f t="shared" si="248"/>
        <v>0</v>
      </c>
      <c r="BX147" s="463"/>
      <c r="BY147" s="463">
        <f t="shared" si="249"/>
        <v>1.6444444444444442E-2</v>
      </c>
      <c r="BZ147" s="147">
        <f t="shared" si="250"/>
        <v>34.951425814958519</v>
      </c>
      <c r="CA147" s="153">
        <f t="shared" si="251"/>
        <v>7.759598446592178E-2</v>
      </c>
      <c r="CB147" s="5">
        <f t="shared" si="252"/>
        <v>0.74</v>
      </c>
      <c r="CC147" s="153">
        <f t="shared" si="253"/>
        <v>0.90509250786424811</v>
      </c>
      <c r="CD147" s="5">
        <f t="shared" si="254"/>
        <v>90.509250786424815</v>
      </c>
      <c r="CG147" s="59">
        <f t="shared" si="300"/>
        <v>-50</v>
      </c>
      <c r="CH147">
        <f t="shared" si="301"/>
        <v>-50</v>
      </c>
    </row>
    <row r="148" spans="5:86" x14ac:dyDescent="0.25">
      <c r="E148" s="150">
        <v>38</v>
      </c>
      <c r="F148" s="191">
        <f t="shared" si="302"/>
        <v>3.8000000000000006E-2</v>
      </c>
      <c r="G148" s="191"/>
      <c r="H148" s="191">
        <f t="shared" si="266"/>
        <v>0.76000000000000012</v>
      </c>
      <c r="I148" s="472">
        <f t="shared" si="267"/>
        <v>9</v>
      </c>
      <c r="J148" s="386">
        <f t="shared" si="268"/>
        <v>20.32</v>
      </c>
      <c r="K148" s="386">
        <f t="shared" si="269"/>
        <v>29.32</v>
      </c>
      <c r="L148" s="386"/>
      <c r="M148" s="191">
        <f t="shared" si="270"/>
        <v>0.69304229195088674</v>
      </c>
      <c r="N148" s="152">
        <f t="shared" si="271"/>
        <v>2.1101682401091408</v>
      </c>
      <c r="O148" s="152">
        <f t="shared" si="262"/>
        <v>0.76000000000000012</v>
      </c>
      <c r="P148" s="191">
        <f t="shared" si="272"/>
        <v>0.10550841200545705</v>
      </c>
      <c r="Q148" s="191">
        <f t="shared" si="273"/>
        <v>20</v>
      </c>
      <c r="R148" s="191"/>
      <c r="S148" s="152">
        <f t="shared" si="274"/>
        <v>70.97460628905165</v>
      </c>
      <c r="T148" s="152">
        <f t="shared" si="275"/>
        <v>20</v>
      </c>
      <c r="U148" s="191">
        <f t="shared" si="276"/>
        <v>0.27076893166132016</v>
      </c>
      <c r="V148" s="191">
        <f t="shared" si="277"/>
        <v>4.5128155276886686</v>
      </c>
      <c r="W148" s="191">
        <f t="shared" si="278"/>
        <v>1.9987864049802175</v>
      </c>
      <c r="X148" s="175">
        <f t="shared" si="279"/>
        <v>277.21691678035478</v>
      </c>
      <c r="Y148" s="386">
        <f t="shared" si="215"/>
        <v>153.57204115671942</v>
      </c>
      <c r="AA148" s="191">
        <f t="shared" si="280"/>
        <v>0.14999999999999997</v>
      </c>
      <c r="AB148" s="153">
        <f t="shared" si="281"/>
        <v>1.1072834645669287</v>
      </c>
      <c r="AC148" s="153">
        <f t="shared" si="282"/>
        <v>2.3021828103683487E-2</v>
      </c>
      <c r="AD148" s="153"/>
      <c r="AE148" s="153">
        <f t="shared" si="283"/>
        <v>1.1072834645669289</v>
      </c>
      <c r="AF148" s="317">
        <f t="shared" si="284"/>
        <v>457.57629629629639</v>
      </c>
      <c r="AG148" s="463">
        <f t="shared" si="285"/>
        <v>2.3021828103683497E-2</v>
      </c>
      <c r="AI148" s="153">
        <f t="shared" si="286"/>
        <v>0.17150982201500606</v>
      </c>
      <c r="AJ148" s="153">
        <f t="shared" si="287"/>
        <v>0.27076893166132016</v>
      </c>
      <c r="AK148" s="153">
        <f t="shared" si="288"/>
        <v>1.2805126211075468</v>
      </c>
      <c r="AM148" s="317">
        <f t="shared" si="289"/>
        <v>38.000000000000007</v>
      </c>
      <c r="AN148" s="147">
        <f t="shared" si="290"/>
        <v>153.57204115671942</v>
      </c>
      <c r="AP148" s="147">
        <f t="shared" si="291"/>
        <v>38.000000000000007</v>
      </c>
      <c r="AQ148" s="147">
        <f t="shared" si="292"/>
        <v>153.57204115671942</v>
      </c>
      <c r="AS148" s="5">
        <f t="shared" si="263"/>
        <v>6.5116019326688868</v>
      </c>
      <c r="AT148" s="5">
        <f t="shared" si="293"/>
        <v>4.5128155276886686</v>
      </c>
      <c r="AU148" s="5">
        <f t="shared" si="230"/>
        <v>1.9987864049802182</v>
      </c>
      <c r="AV148" s="5"/>
      <c r="AW148" s="153">
        <f t="shared" si="231"/>
        <v>0.69304229195088662</v>
      </c>
      <c r="AX148" s="153">
        <f t="shared" si="259"/>
        <v>0.84444444444444466</v>
      </c>
      <c r="AY148" s="153">
        <f t="shared" si="260"/>
        <v>4.1557305336832918E-2</v>
      </c>
      <c r="AZ148" s="153">
        <f t="shared" si="264"/>
        <v>20.319999999999993</v>
      </c>
      <c r="BA148" s="147">
        <f t="shared" si="294"/>
        <v>7.5578700647486725</v>
      </c>
      <c r="BB148" s="147">
        <f t="shared" si="295"/>
        <v>8.3505813481481486</v>
      </c>
      <c r="BC148" s="5">
        <f t="shared" si="258"/>
        <v>0.18754045281295875</v>
      </c>
      <c r="BD148" s="147">
        <f t="shared" si="296"/>
        <v>19.035526762777362</v>
      </c>
      <c r="BF148" s="153">
        <f t="shared" si="265"/>
        <v>0.13014217868093034</v>
      </c>
      <c r="BG148" s="153">
        <f t="shared" si="261"/>
        <v>8.6611882051588929E-2</v>
      </c>
      <c r="BI148" s="463">
        <f t="shared" si="236"/>
        <v>5.9279453351367192E-3</v>
      </c>
      <c r="BJ148" s="463">
        <f t="shared" si="237"/>
        <v>6.0959999999999999E-3</v>
      </c>
      <c r="BK148" s="463">
        <f t="shared" si="238"/>
        <v>1.9196505144589927E-3</v>
      </c>
      <c r="BL148" s="463">
        <f t="shared" si="239"/>
        <v>6.6010054736842108E-3</v>
      </c>
      <c r="BM148">
        <f t="shared" si="240"/>
        <v>2.6099999999999999E-3</v>
      </c>
      <c r="BN148">
        <f t="shared" si="297"/>
        <v>1.5357204115671942E-6</v>
      </c>
      <c r="BO148" s="463">
        <f t="shared" si="298"/>
        <v>2.398263961872726E-2</v>
      </c>
      <c r="BP148" s="147">
        <f t="shared" si="243"/>
        <v>23.154601323279923</v>
      </c>
      <c r="BQ148" s="463">
        <f t="shared" si="299"/>
        <v>2.0247236237964025E-2</v>
      </c>
      <c r="BT148" s="147">
        <f t="shared" si="245"/>
        <v>20.247236237964024</v>
      </c>
      <c r="BU148" s="463">
        <f t="shared" si="246"/>
        <v>1.354958933745536E-2</v>
      </c>
      <c r="BV148" s="463">
        <f t="shared" si="247"/>
        <v>5.9712880175646086E-3</v>
      </c>
      <c r="BW148" s="463">
        <f t="shared" si="248"/>
        <v>0</v>
      </c>
      <c r="BX148" s="463"/>
      <c r="BY148" s="463">
        <f t="shared" si="249"/>
        <v>1.6888888888888894E-2</v>
      </c>
      <c r="BZ148" s="147">
        <f t="shared" si="250"/>
        <v>36.409766243908862</v>
      </c>
      <c r="CA148" s="153">
        <f t="shared" si="251"/>
        <v>7.9811603805152814E-2</v>
      </c>
      <c r="CB148" s="5">
        <f t="shared" si="252"/>
        <v>0.76000000000000012</v>
      </c>
      <c r="CC148" s="153">
        <f t="shared" si="253"/>
        <v>0.90496487135504011</v>
      </c>
      <c r="CD148" s="5">
        <f t="shared" si="254"/>
        <v>90.496487135504012</v>
      </c>
      <c r="CG148" s="59">
        <f t="shared" si="300"/>
        <v>-50</v>
      </c>
      <c r="CH148">
        <f t="shared" si="301"/>
        <v>-50</v>
      </c>
    </row>
    <row r="149" spans="5:86" x14ac:dyDescent="0.25">
      <c r="E149" s="150">
        <v>39</v>
      </c>
      <c r="F149" s="191">
        <f t="shared" si="302"/>
        <v>3.9000000000000007E-2</v>
      </c>
      <c r="G149" s="191"/>
      <c r="H149" s="191">
        <f t="shared" si="266"/>
        <v>0.78000000000000014</v>
      </c>
      <c r="I149" s="472">
        <f t="shared" si="267"/>
        <v>9</v>
      </c>
      <c r="J149" s="386">
        <f t="shared" si="268"/>
        <v>20.32</v>
      </c>
      <c r="K149" s="386">
        <f t="shared" si="269"/>
        <v>29.32</v>
      </c>
      <c r="L149" s="386"/>
      <c r="M149" s="191">
        <f t="shared" si="270"/>
        <v>0.69304229195088674</v>
      </c>
      <c r="N149" s="152">
        <f t="shared" si="271"/>
        <v>2.1101682401091408</v>
      </c>
      <c r="O149" s="152">
        <f t="shared" si="262"/>
        <v>0.78000000000000014</v>
      </c>
      <c r="P149" s="191">
        <f t="shared" si="272"/>
        <v>0.10550841200545705</v>
      </c>
      <c r="Q149" s="191">
        <f t="shared" si="273"/>
        <v>20</v>
      </c>
      <c r="R149" s="191"/>
      <c r="S149" s="152">
        <f t="shared" si="274"/>
        <v>68.926206110833505</v>
      </c>
      <c r="T149" s="152">
        <f t="shared" si="275"/>
        <v>20</v>
      </c>
      <c r="U149" s="191">
        <f t="shared" si="276"/>
        <v>0.27789442986293389</v>
      </c>
      <c r="V149" s="191">
        <f t="shared" si="277"/>
        <v>4.6315738310488976</v>
      </c>
      <c r="W149" s="191">
        <f t="shared" si="278"/>
        <v>2.0513860472165391</v>
      </c>
      <c r="X149" s="175">
        <f t="shared" si="279"/>
        <v>277.21691678035478</v>
      </c>
      <c r="Y149" s="386">
        <f t="shared" si="215"/>
        <v>149.6342965116753</v>
      </c>
      <c r="AA149" s="191">
        <f t="shared" si="280"/>
        <v>0.14999999999999997</v>
      </c>
      <c r="AB149" s="153">
        <f t="shared" si="281"/>
        <v>1.1072834645669287</v>
      </c>
      <c r="AC149" s="153">
        <f t="shared" si="282"/>
        <v>2.3021828103683487E-2</v>
      </c>
      <c r="AD149" s="153"/>
      <c r="AE149" s="153">
        <f t="shared" si="283"/>
        <v>1.1072834645669289</v>
      </c>
      <c r="AF149" s="317">
        <f t="shared" si="284"/>
        <v>469.61777777777786</v>
      </c>
      <c r="AG149" s="463">
        <f t="shared" si="285"/>
        <v>2.3021828103683497E-2</v>
      </c>
      <c r="AI149" s="153">
        <f t="shared" si="286"/>
        <v>0.17375187563221955</v>
      </c>
      <c r="AJ149" s="153">
        <f t="shared" si="287"/>
        <v>0.27789442986293389</v>
      </c>
      <c r="AK149" s="153">
        <f t="shared" si="288"/>
        <v>1.2852629532419559</v>
      </c>
      <c r="AM149" s="317">
        <f t="shared" si="289"/>
        <v>39.000000000000007</v>
      </c>
      <c r="AN149" s="147">
        <f t="shared" si="290"/>
        <v>149.6342965116753</v>
      </c>
      <c r="AP149" s="147">
        <f t="shared" si="291"/>
        <v>39.000000000000007</v>
      </c>
      <c r="AQ149" s="147">
        <f t="shared" si="292"/>
        <v>149.6342965116753</v>
      </c>
      <c r="AS149" s="5">
        <f t="shared" si="263"/>
        <v>6.6829598782654376</v>
      </c>
      <c r="AT149" s="5">
        <f t="shared" si="293"/>
        <v>4.6315738310488976</v>
      </c>
      <c r="AU149" s="5">
        <f t="shared" si="230"/>
        <v>2.0513860472165399</v>
      </c>
      <c r="AV149" s="5"/>
      <c r="AW149" s="153">
        <f t="shared" si="231"/>
        <v>0.69304229195088674</v>
      </c>
      <c r="AX149" s="153">
        <f t="shared" si="259"/>
        <v>0.86666666666666681</v>
      </c>
      <c r="AY149" s="153">
        <f t="shared" si="260"/>
        <v>4.265091863517062E-2</v>
      </c>
      <c r="AZ149" s="153">
        <f t="shared" si="264"/>
        <v>20.319999999999997</v>
      </c>
      <c r="BA149" s="147">
        <f t="shared" si="294"/>
        <v>7.5578700647486725</v>
      </c>
      <c r="BB149" s="147">
        <f t="shared" si="295"/>
        <v>8.7927896333333351</v>
      </c>
      <c r="BC149" s="5">
        <f t="shared" si="258"/>
        <v>0.19754087862085201</v>
      </c>
      <c r="BD149" s="147">
        <f t="shared" si="296"/>
        <v>20.042976750974091</v>
      </c>
      <c r="BF149" s="153">
        <f t="shared" si="265"/>
        <v>0.13356697285674435</v>
      </c>
      <c r="BG149" s="153">
        <f t="shared" si="261"/>
        <v>8.8891142105578122E-2</v>
      </c>
      <c r="BI149" s="463">
        <f t="shared" si="236"/>
        <v>6.2440476833399983E-3</v>
      </c>
      <c r="BJ149" s="463">
        <f t="shared" si="237"/>
        <v>6.0959999999999999E-3</v>
      </c>
      <c r="BK149" s="463">
        <f t="shared" si="238"/>
        <v>1.8704287063959412E-3</v>
      </c>
      <c r="BL149" s="463">
        <f t="shared" si="239"/>
        <v>6.4317489230769215E-3</v>
      </c>
      <c r="BM149">
        <f t="shared" si="240"/>
        <v>2.6099999999999999E-3</v>
      </c>
      <c r="BN149">
        <f t="shared" si="297"/>
        <v>1.496342965116753E-6</v>
      </c>
      <c r="BO149" s="463">
        <f t="shared" si="298"/>
        <v>2.4124460117561367E-2</v>
      </c>
      <c r="BP149" s="147">
        <f t="shared" si="243"/>
        <v>23.252225312812865</v>
      </c>
      <c r="BQ149" s="463">
        <f t="shared" si="299"/>
        <v>2.0934849250653243E-2</v>
      </c>
      <c r="BT149" s="147">
        <f t="shared" si="245"/>
        <v>20.934849250653244</v>
      </c>
      <c r="BU149" s="463">
        <f t="shared" si="246"/>
        <v>1.4272108990491425E-2</v>
      </c>
      <c r="BV149" s="463">
        <f t="shared" si="247"/>
        <v>6.2897015752879301E-3</v>
      </c>
      <c r="BW149" s="463">
        <f t="shared" si="248"/>
        <v>0</v>
      </c>
      <c r="BX149" s="463"/>
      <c r="BY149" s="463">
        <f t="shared" si="249"/>
        <v>1.7333333333333339E-2</v>
      </c>
      <c r="BZ149" s="147">
        <f t="shared" si="250"/>
        <v>37.895143899112696</v>
      </c>
      <c r="CA149" s="153">
        <f t="shared" si="251"/>
        <v>8.2082218462578793E-2</v>
      </c>
      <c r="CB149" s="5">
        <f t="shared" si="252"/>
        <v>0.78000000000000014</v>
      </c>
      <c r="CC149" s="153">
        <f t="shared" si="253"/>
        <v>0.90478609034650703</v>
      </c>
      <c r="CD149" s="5">
        <f t="shared" si="254"/>
        <v>90.478609034650702</v>
      </c>
      <c r="CG149" s="59">
        <f t="shared" si="300"/>
        <v>-50</v>
      </c>
      <c r="CH149">
        <f t="shared" si="301"/>
        <v>-50</v>
      </c>
    </row>
    <row r="150" spans="5:86" x14ac:dyDescent="0.25">
      <c r="E150" s="150">
        <v>40</v>
      </c>
      <c r="F150" s="191">
        <f t="shared" si="302"/>
        <v>4.0000000000000008E-2</v>
      </c>
      <c r="G150" s="191"/>
      <c r="H150" s="191">
        <f t="shared" si="266"/>
        <v>0.80000000000000016</v>
      </c>
      <c r="I150" s="472">
        <f t="shared" si="267"/>
        <v>9</v>
      </c>
      <c r="J150" s="386">
        <f t="shared" si="268"/>
        <v>20.32</v>
      </c>
      <c r="K150" s="386">
        <f t="shared" si="269"/>
        <v>29.32</v>
      </c>
      <c r="L150" s="386"/>
      <c r="M150" s="191">
        <f t="shared" si="270"/>
        <v>0.69304229195088674</v>
      </c>
      <c r="N150" s="152">
        <f t="shared" si="271"/>
        <v>2.1101682401091408</v>
      </c>
      <c r="O150" s="152">
        <f t="shared" si="262"/>
        <v>0.80000000000000016</v>
      </c>
      <c r="P150" s="191">
        <f t="shared" si="272"/>
        <v>0.10550841200545705</v>
      </c>
      <c r="Q150" s="191">
        <f t="shared" si="273"/>
        <v>20</v>
      </c>
      <c r="R150" s="191"/>
      <c r="S150" s="152">
        <f t="shared" si="274"/>
        <v>66.980293275628142</v>
      </c>
      <c r="T150" s="152">
        <f t="shared" si="275"/>
        <v>20</v>
      </c>
      <c r="U150" s="191">
        <f t="shared" si="276"/>
        <v>0.28501992806454757</v>
      </c>
      <c r="V150" s="191">
        <f t="shared" si="277"/>
        <v>4.7503321344091249</v>
      </c>
      <c r="W150" s="191">
        <f t="shared" si="278"/>
        <v>2.1039856894528608</v>
      </c>
      <c r="X150" s="175">
        <f t="shared" si="279"/>
        <v>277.21691678035478</v>
      </c>
      <c r="Y150" s="386">
        <f t="shared" si="215"/>
        <v>145.89343909888345</v>
      </c>
      <c r="AA150" s="191">
        <f t="shared" si="280"/>
        <v>0.14999999999999997</v>
      </c>
      <c r="AB150" s="153">
        <f t="shared" si="281"/>
        <v>1.1072834645669287</v>
      </c>
      <c r="AC150" s="153">
        <f t="shared" si="282"/>
        <v>2.3021828103683487E-2</v>
      </c>
      <c r="AD150" s="153"/>
      <c r="AE150" s="153">
        <f t="shared" si="283"/>
        <v>1.1072834645669289</v>
      </c>
      <c r="AF150" s="317">
        <f t="shared" si="284"/>
        <v>481.65925925925939</v>
      </c>
      <c r="AG150" s="463">
        <f t="shared" si="285"/>
        <v>2.3021828103683497E-2</v>
      </c>
      <c r="AI150" s="153">
        <f t="shared" si="286"/>
        <v>0.17596536455737399</v>
      </c>
      <c r="AJ150" s="153">
        <f t="shared" si="287"/>
        <v>0.28501992806454757</v>
      </c>
      <c r="AK150" s="153">
        <f t="shared" si="288"/>
        <v>1.2900132853763651</v>
      </c>
      <c r="AM150" s="317">
        <f t="shared" si="289"/>
        <v>40.000000000000007</v>
      </c>
      <c r="AN150" s="147">
        <f t="shared" si="290"/>
        <v>145.89343909888345</v>
      </c>
      <c r="AP150" s="147">
        <f t="shared" si="291"/>
        <v>40.000000000000007</v>
      </c>
      <c r="AQ150" s="147">
        <f t="shared" si="292"/>
        <v>145.89343909888345</v>
      </c>
      <c r="AS150" s="5">
        <f t="shared" si="263"/>
        <v>6.8543178238619857</v>
      </c>
      <c r="AT150" s="5">
        <f t="shared" si="293"/>
        <v>4.7503321344091249</v>
      </c>
      <c r="AU150" s="5">
        <f t="shared" si="230"/>
        <v>2.1039856894528608</v>
      </c>
      <c r="AV150" s="5"/>
      <c r="AW150" s="153">
        <f t="shared" si="231"/>
        <v>0.69304229195088674</v>
      </c>
      <c r="AX150" s="153">
        <f t="shared" si="259"/>
        <v>0.88888888888888928</v>
      </c>
      <c r="AY150" s="153">
        <f t="shared" si="260"/>
        <v>4.3744531933508329E-2</v>
      </c>
      <c r="AZ150" s="153">
        <f t="shared" si="264"/>
        <v>20.32</v>
      </c>
      <c r="BA150" s="147">
        <f t="shared" si="294"/>
        <v>7.5578700647486725</v>
      </c>
      <c r="BB150" s="147">
        <f t="shared" si="295"/>
        <v>9.2464059259259272</v>
      </c>
      <c r="BC150" s="5">
        <f t="shared" si="258"/>
        <v>0.20780105574843075</v>
      </c>
      <c r="BD150" s="147">
        <f t="shared" si="296"/>
        <v>21.076401871139375</v>
      </c>
      <c r="BF150" s="153">
        <f t="shared" si="265"/>
        <v>0.13699176703255828</v>
      </c>
      <c r="BG150" s="153">
        <f t="shared" si="261"/>
        <v>9.1170402159567301E-2</v>
      </c>
      <c r="BI150" s="463">
        <f t="shared" si="236"/>
        <v>6.5683604821459522E-3</v>
      </c>
      <c r="BJ150" s="463">
        <f t="shared" si="237"/>
        <v>6.0959999999999999E-3</v>
      </c>
      <c r="BK150" s="463">
        <f t="shared" si="238"/>
        <v>1.8236679887360429E-3</v>
      </c>
      <c r="BL150" s="463">
        <f t="shared" si="239"/>
        <v>6.2709552E-3</v>
      </c>
      <c r="BM150">
        <f t="shared" si="240"/>
        <v>2.6099999999999999E-3</v>
      </c>
      <c r="BN150">
        <f t="shared" si="297"/>
        <v>1.4589343909888345E-6</v>
      </c>
      <c r="BO150" s="463">
        <f t="shared" si="298"/>
        <v>2.4286603294365012E-2</v>
      </c>
      <c r="BP150" s="147">
        <f t="shared" si="243"/>
        <v>23.368983670881995</v>
      </c>
      <c r="BQ150" s="463">
        <f t="shared" si="299"/>
        <v>2.163040026367205E-2</v>
      </c>
      <c r="BT150" s="147">
        <f t="shared" si="245"/>
        <v>21.630400263672051</v>
      </c>
      <c r="BU150" s="463">
        <f t="shared" si="246"/>
        <v>1.5013395387762177E-2</v>
      </c>
      <c r="BV150" s="463">
        <f t="shared" si="247"/>
        <v>6.6163856150300389E-3</v>
      </c>
      <c r="BW150" s="463">
        <f t="shared" si="248"/>
        <v>0</v>
      </c>
      <c r="BX150" s="463"/>
      <c r="BY150" s="463">
        <f t="shared" si="249"/>
        <v>1.7777777777777792E-2</v>
      </c>
      <c r="BZ150" s="147">
        <f t="shared" si="250"/>
        <v>39.407558780570007</v>
      </c>
      <c r="CA150" s="153">
        <f t="shared" si="251"/>
        <v>8.4406942715124056E-2</v>
      </c>
      <c r="CB150" s="5">
        <f t="shared" si="252"/>
        <v>0.80000000000000016</v>
      </c>
      <c r="CC150" s="153">
        <f t="shared" si="253"/>
        <v>0.90456096776446004</v>
      </c>
      <c r="CD150" s="5">
        <f t="shared" si="254"/>
        <v>90.456096776446003</v>
      </c>
      <c r="CG150" s="59">
        <f t="shared" si="300"/>
        <v>-50</v>
      </c>
      <c r="CH150">
        <f t="shared" si="301"/>
        <v>-50</v>
      </c>
    </row>
    <row r="151" spans="5:86" x14ac:dyDescent="0.25">
      <c r="E151" s="150">
        <v>41</v>
      </c>
      <c r="F151" s="191">
        <f t="shared" si="302"/>
        <v>4.1000000000000002E-2</v>
      </c>
      <c r="G151" s="191"/>
      <c r="H151" s="191">
        <f t="shared" si="266"/>
        <v>0.82000000000000006</v>
      </c>
      <c r="I151" s="472">
        <f t="shared" si="267"/>
        <v>9</v>
      </c>
      <c r="J151" s="386">
        <f t="shared" si="268"/>
        <v>20.32</v>
      </c>
      <c r="K151" s="386">
        <f t="shared" si="269"/>
        <v>29.32</v>
      </c>
      <c r="L151" s="386"/>
      <c r="M151" s="191">
        <f t="shared" si="270"/>
        <v>0.69304229195088674</v>
      </c>
      <c r="N151" s="152">
        <f t="shared" si="271"/>
        <v>2.1101682401091408</v>
      </c>
      <c r="O151" s="152">
        <f t="shared" si="262"/>
        <v>0.82000000000000006</v>
      </c>
      <c r="P151" s="191">
        <f t="shared" si="272"/>
        <v>0.10550841200545705</v>
      </c>
      <c r="Q151" s="191">
        <f t="shared" si="273"/>
        <v>20</v>
      </c>
      <c r="R151" s="191"/>
      <c r="S151" s="152">
        <f t="shared" si="274"/>
        <v>65.129369333437353</v>
      </c>
      <c r="T151" s="152">
        <f t="shared" si="275"/>
        <v>20</v>
      </c>
      <c r="U151" s="191">
        <f t="shared" si="276"/>
        <v>0.29214542626616125</v>
      </c>
      <c r="V151" s="191">
        <f t="shared" si="277"/>
        <v>4.869090437769354</v>
      </c>
      <c r="W151" s="191">
        <f t="shared" si="278"/>
        <v>2.1565853316891821</v>
      </c>
      <c r="X151" s="175">
        <f t="shared" si="279"/>
        <v>277.21691678035478</v>
      </c>
      <c r="Y151" s="386">
        <f t="shared" si="215"/>
        <v>142.33506253549604</v>
      </c>
      <c r="AA151" s="191">
        <f t="shared" si="280"/>
        <v>0.14999999999999997</v>
      </c>
      <c r="AB151" s="153">
        <f t="shared" si="281"/>
        <v>1.1072834645669287</v>
      </c>
      <c r="AC151" s="153">
        <f t="shared" si="282"/>
        <v>2.3021828103683487E-2</v>
      </c>
      <c r="AD151" s="153"/>
      <c r="AE151" s="153">
        <f t="shared" si="283"/>
        <v>1.1072834645669289</v>
      </c>
      <c r="AF151" s="317">
        <f t="shared" si="284"/>
        <v>493.7007407407408</v>
      </c>
      <c r="AG151" s="463">
        <f t="shared" si="285"/>
        <v>2.3021828103683497E-2</v>
      </c>
      <c r="AI151" s="153">
        <f t="shared" si="286"/>
        <v>0.17815135352251682</v>
      </c>
      <c r="AJ151" s="153">
        <f t="shared" si="287"/>
        <v>0.29214542626616125</v>
      </c>
      <c r="AK151" s="153">
        <f t="shared" si="288"/>
        <v>1.2947636175107742</v>
      </c>
      <c r="AM151" s="317">
        <f t="shared" si="289"/>
        <v>41</v>
      </c>
      <c r="AN151" s="147">
        <f t="shared" si="290"/>
        <v>142.33506253549604</v>
      </c>
      <c r="AP151" s="147">
        <f t="shared" si="291"/>
        <v>41</v>
      </c>
      <c r="AQ151" s="147">
        <f t="shared" si="292"/>
        <v>142.33506253549604</v>
      </c>
      <c r="AS151" s="5">
        <f t="shared" si="263"/>
        <v>7.0256757694585366</v>
      </c>
      <c r="AT151" s="5">
        <f t="shared" si="293"/>
        <v>4.869090437769354</v>
      </c>
      <c r="AU151" s="5">
        <f t="shared" si="230"/>
        <v>2.1565853316891825</v>
      </c>
      <c r="AV151" s="5"/>
      <c r="AW151" s="153">
        <f t="shared" si="231"/>
        <v>0.69304229195088674</v>
      </c>
      <c r="AX151" s="153">
        <f t="shared" si="259"/>
        <v>0.91111111111111132</v>
      </c>
      <c r="AY151" s="153">
        <f t="shared" si="260"/>
        <v>4.4838145231846031E-2</v>
      </c>
      <c r="AZ151" s="153">
        <f t="shared" si="264"/>
        <v>20.32</v>
      </c>
      <c r="BA151" s="147">
        <f t="shared" si="294"/>
        <v>7.5578700647486725</v>
      </c>
      <c r="BB151" s="147">
        <f t="shared" si="295"/>
        <v>9.7114302259259251</v>
      </c>
      <c r="BC151" s="5">
        <f t="shared" si="258"/>
        <v>0.21832098419569507</v>
      </c>
      <c r="BD151" s="147">
        <f t="shared" si="296"/>
        <v>22.135802123273212</v>
      </c>
      <c r="BF151" s="153">
        <f t="shared" si="265"/>
        <v>0.14041656120837223</v>
      </c>
      <c r="BG151" s="153">
        <f t="shared" si="261"/>
        <v>9.3449662213556467E-2</v>
      </c>
      <c r="BI151" s="463">
        <f t="shared" si="236"/>
        <v>6.9008837315545904E-3</v>
      </c>
      <c r="BJ151" s="463">
        <f t="shared" si="237"/>
        <v>6.0959999999999999E-3</v>
      </c>
      <c r="BK151" s="463">
        <f t="shared" si="238"/>
        <v>1.7791882816937004E-3</v>
      </c>
      <c r="BL151" s="463">
        <f t="shared" si="239"/>
        <v>6.1180050731707309E-3</v>
      </c>
      <c r="BM151">
        <f t="shared" si="240"/>
        <v>2.6099999999999999E-3</v>
      </c>
      <c r="BN151">
        <f t="shared" si="297"/>
        <v>1.4233506253549603E-6</v>
      </c>
      <c r="BO151" s="463">
        <f t="shared" si="298"/>
        <v>2.4468273065344617E-2</v>
      </c>
      <c r="BP151" s="147">
        <f t="shared" si="243"/>
        <v>23.504077086419024</v>
      </c>
      <c r="BQ151" s="463">
        <f t="shared" si="299"/>
        <v>2.2333889277020444E-2</v>
      </c>
      <c r="BT151" s="147">
        <f t="shared" si="245"/>
        <v>22.333889277020443</v>
      </c>
      <c r="BU151" s="463">
        <f t="shared" si="246"/>
        <v>1.5773448529267636E-2</v>
      </c>
      <c r="BV151" s="463">
        <f t="shared" si="247"/>
        <v>6.9513401367909322E-3</v>
      </c>
      <c r="BW151" s="463">
        <f t="shared" si="248"/>
        <v>0</v>
      </c>
      <c r="BX151" s="463"/>
      <c r="BY151" s="463">
        <f t="shared" si="249"/>
        <v>1.822222222222223E-2</v>
      </c>
      <c r="BZ151" s="147">
        <f t="shared" si="250"/>
        <v>40.947010888280801</v>
      </c>
      <c r="CA151" s="153">
        <f t="shared" si="251"/>
        <v>8.6784977251720269E-2</v>
      </c>
      <c r="CB151" s="5">
        <f t="shared" si="252"/>
        <v>0.82000000000000006</v>
      </c>
      <c r="CC151" s="153">
        <f t="shared" si="253"/>
        <v>0.90429376376001747</v>
      </c>
      <c r="CD151" s="5">
        <f t="shared" si="254"/>
        <v>90.429376376001741</v>
      </c>
      <c r="CG151" s="59">
        <f t="shared" si="300"/>
        <v>-50</v>
      </c>
      <c r="CH151">
        <f t="shared" si="301"/>
        <v>-50</v>
      </c>
    </row>
    <row r="152" spans="5:86" x14ac:dyDescent="0.25">
      <c r="E152" s="150">
        <v>42</v>
      </c>
      <c r="F152" s="191">
        <f t="shared" si="302"/>
        <v>4.2000000000000003E-2</v>
      </c>
      <c r="G152" s="191"/>
      <c r="H152" s="191">
        <f t="shared" si="266"/>
        <v>0.84000000000000008</v>
      </c>
      <c r="I152" s="472">
        <f t="shared" si="267"/>
        <v>9</v>
      </c>
      <c r="J152" s="386">
        <f t="shared" si="268"/>
        <v>20.32</v>
      </c>
      <c r="K152" s="386">
        <f t="shared" si="269"/>
        <v>29.32</v>
      </c>
      <c r="L152" s="386"/>
      <c r="M152" s="191">
        <f t="shared" si="270"/>
        <v>0.69304229195088674</v>
      </c>
      <c r="N152" s="152">
        <f t="shared" si="271"/>
        <v>2.1101682401091408</v>
      </c>
      <c r="O152" s="152">
        <f t="shared" si="262"/>
        <v>0.84000000000000008</v>
      </c>
      <c r="P152" s="191">
        <f t="shared" si="272"/>
        <v>0.10550841200545705</v>
      </c>
      <c r="Q152" s="191">
        <f t="shared" si="273"/>
        <v>20</v>
      </c>
      <c r="R152" s="191"/>
      <c r="S152" s="152">
        <f t="shared" si="274"/>
        <v>63.366649979697307</v>
      </c>
      <c r="T152" s="152">
        <f t="shared" si="275"/>
        <v>20</v>
      </c>
      <c r="U152" s="191">
        <f t="shared" si="276"/>
        <v>0.29927092446777492</v>
      </c>
      <c r="V152" s="191">
        <f t="shared" si="277"/>
        <v>4.9878487411295822</v>
      </c>
      <c r="W152" s="191">
        <f t="shared" si="278"/>
        <v>2.2091849739255038</v>
      </c>
      <c r="X152" s="175">
        <f t="shared" si="279"/>
        <v>277.21691678035478</v>
      </c>
      <c r="Y152" s="386">
        <f t="shared" si="215"/>
        <v>138.94613247512709</v>
      </c>
      <c r="AA152" s="191">
        <f t="shared" si="280"/>
        <v>0.14999999999999997</v>
      </c>
      <c r="AB152" s="153">
        <f t="shared" si="281"/>
        <v>1.1072834645669287</v>
      </c>
      <c r="AC152" s="153">
        <f t="shared" si="282"/>
        <v>2.3021828103683487E-2</v>
      </c>
      <c r="AD152" s="153"/>
      <c r="AE152" s="153">
        <f t="shared" si="283"/>
        <v>1.1072834645669289</v>
      </c>
      <c r="AF152" s="317">
        <f t="shared" si="284"/>
        <v>505.74222222222232</v>
      </c>
      <c r="AG152" s="463">
        <f t="shared" si="285"/>
        <v>2.3021828103683497E-2</v>
      </c>
      <c r="AI152" s="153">
        <f t="shared" si="286"/>
        <v>0.18031084271335435</v>
      </c>
      <c r="AJ152" s="153">
        <f t="shared" si="287"/>
        <v>0.29927092446777492</v>
      </c>
      <c r="AK152" s="153">
        <f t="shared" si="288"/>
        <v>1.2995139496451833</v>
      </c>
      <c r="AM152" s="317">
        <f t="shared" si="289"/>
        <v>42</v>
      </c>
      <c r="AN152" s="147">
        <f t="shared" si="290"/>
        <v>138.94613247512709</v>
      </c>
      <c r="AP152" s="147">
        <f t="shared" si="291"/>
        <v>42</v>
      </c>
      <c r="AQ152" s="147">
        <f t="shared" si="292"/>
        <v>138.94613247512709</v>
      </c>
      <c r="AS152" s="5">
        <f t="shared" si="263"/>
        <v>7.1970337150550856</v>
      </c>
      <c r="AT152" s="5">
        <f t="shared" si="293"/>
        <v>4.9878487411295822</v>
      </c>
      <c r="AU152" s="5">
        <f t="shared" si="230"/>
        <v>2.2091849739255034</v>
      </c>
      <c r="AV152" s="5"/>
      <c r="AW152" s="153">
        <f t="shared" si="231"/>
        <v>0.69304229195088685</v>
      </c>
      <c r="AX152" s="153">
        <f t="shared" si="259"/>
        <v>0.93333333333333346</v>
      </c>
      <c r="AY152" s="153">
        <f t="shared" si="260"/>
        <v>4.5931758530183726E-2</v>
      </c>
      <c r="AZ152" s="153">
        <f t="shared" si="264"/>
        <v>20.320000000000004</v>
      </c>
      <c r="BA152" s="147">
        <f t="shared" si="294"/>
        <v>7.5578700647486725</v>
      </c>
      <c r="BB152" s="147">
        <f t="shared" si="295"/>
        <v>10.187862533333332</v>
      </c>
      <c r="BC152" s="5">
        <f t="shared" si="258"/>
        <v>0.22910066396264478</v>
      </c>
      <c r="BD152" s="147">
        <f t="shared" si="296"/>
        <v>23.221177507375593</v>
      </c>
      <c r="BF152" s="153">
        <f t="shared" si="265"/>
        <v>0.14384135538418621</v>
      </c>
      <c r="BG152" s="153">
        <f t="shared" si="261"/>
        <v>9.5728922267545632E-2</v>
      </c>
      <c r="BI152" s="463">
        <f t="shared" si="236"/>
        <v>7.2416174315659146E-3</v>
      </c>
      <c r="BJ152" s="463">
        <f t="shared" si="237"/>
        <v>6.0959999999999999E-3</v>
      </c>
      <c r="BK152" s="463">
        <f t="shared" si="238"/>
        <v>1.7368266559390885E-3</v>
      </c>
      <c r="BL152" s="463">
        <f t="shared" si="239"/>
        <v>5.9723382857142853E-3</v>
      </c>
      <c r="BM152">
        <f t="shared" si="240"/>
        <v>2.6099999999999999E-3</v>
      </c>
      <c r="BN152">
        <f t="shared" si="297"/>
        <v>1.3894613247512709E-6</v>
      </c>
      <c r="BO152" s="463">
        <f t="shared" si="298"/>
        <v>2.4668749571660903E-2</v>
      </c>
      <c r="BP152" s="147">
        <f t="shared" si="243"/>
        <v>23.65678237321929</v>
      </c>
      <c r="BQ152" s="463">
        <f t="shared" si="299"/>
        <v>2.304531629069843E-2</v>
      </c>
      <c r="BT152" s="147">
        <f t="shared" si="245"/>
        <v>23.04531629069843</v>
      </c>
      <c r="BU152" s="463">
        <f t="shared" si="246"/>
        <v>1.6552268415007808E-2</v>
      </c>
      <c r="BV152" s="463">
        <f t="shared" si="247"/>
        <v>7.2945651405706127E-3</v>
      </c>
      <c r="BW152" s="463">
        <f t="shared" si="248"/>
        <v>0</v>
      </c>
      <c r="BX152" s="463"/>
      <c r="BY152" s="463">
        <f t="shared" si="249"/>
        <v>1.8666666666666672E-2</v>
      </c>
      <c r="BZ152" s="147">
        <f t="shared" si="250"/>
        <v>42.513500222245092</v>
      </c>
      <c r="CA152" s="153">
        <f t="shared" si="251"/>
        <v>8.9215598886162817E-2</v>
      </c>
      <c r="CB152" s="5">
        <f t="shared" si="252"/>
        <v>0.84000000000000008</v>
      </c>
      <c r="CC152" s="153">
        <f t="shared" si="253"/>
        <v>0.90398826817683187</v>
      </c>
      <c r="CD152" s="5">
        <f t="shared" si="254"/>
        <v>90.398826817683187</v>
      </c>
      <c r="CG152" s="59">
        <f t="shared" si="300"/>
        <v>-50</v>
      </c>
      <c r="CH152">
        <f t="shared" si="301"/>
        <v>-50</v>
      </c>
    </row>
    <row r="153" spans="5:86" x14ac:dyDescent="0.25">
      <c r="E153" s="150">
        <v>43</v>
      </c>
      <c r="F153" s="191">
        <f t="shared" si="302"/>
        <v>4.3000000000000003E-2</v>
      </c>
      <c r="G153" s="191"/>
      <c r="H153" s="191">
        <f t="shared" si="266"/>
        <v>0.8600000000000001</v>
      </c>
      <c r="I153" s="472">
        <f t="shared" si="267"/>
        <v>9</v>
      </c>
      <c r="J153" s="386">
        <f t="shared" si="268"/>
        <v>20.32</v>
      </c>
      <c r="K153" s="386">
        <f t="shared" si="269"/>
        <v>29.32</v>
      </c>
      <c r="L153" s="386"/>
      <c r="M153" s="191">
        <f t="shared" si="270"/>
        <v>0.69304229195088674</v>
      </c>
      <c r="N153" s="152">
        <f t="shared" si="271"/>
        <v>2.1101682401091408</v>
      </c>
      <c r="O153" s="152">
        <f t="shared" si="262"/>
        <v>0.8600000000000001</v>
      </c>
      <c r="P153" s="191">
        <f t="shared" si="272"/>
        <v>0.10550841200545705</v>
      </c>
      <c r="Q153" s="191">
        <f t="shared" si="273"/>
        <v>20</v>
      </c>
      <c r="R153" s="191"/>
      <c r="S153" s="152">
        <f t="shared" si="274"/>
        <v>61.685982015213717</v>
      </c>
      <c r="T153" s="152">
        <f t="shared" si="275"/>
        <v>20</v>
      </c>
      <c r="U153" s="191">
        <f t="shared" si="276"/>
        <v>0.3063964226693886</v>
      </c>
      <c r="V153" s="191">
        <f t="shared" si="277"/>
        <v>5.1066070444898095</v>
      </c>
      <c r="W153" s="191">
        <f t="shared" si="278"/>
        <v>2.2617846161618251</v>
      </c>
      <c r="X153" s="175">
        <f t="shared" si="279"/>
        <v>277.21691678035478</v>
      </c>
      <c r="Y153" s="386">
        <f t="shared" si="215"/>
        <v>135.71482706872882</v>
      </c>
      <c r="AA153" s="191">
        <f t="shared" si="280"/>
        <v>0.14999999999999997</v>
      </c>
      <c r="AB153" s="153">
        <f t="shared" si="281"/>
        <v>1.1072834645669287</v>
      </c>
      <c r="AC153" s="153">
        <f t="shared" si="282"/>
        <v>2.3021828103683487E-2</v>
      </c>
      <c r="AD153" s="153"/>
      <c r="AE153" s="153">
        <f t="shared" si="283"/>
        <v>1.1072834645669289</v>
      </c>
      <c r="AF153" s="317">
        <f t="shared" si="284"/>
        <v>517.78370370370374</v>
      </c>
      <c r="AG153" s="463">
        <f t="shared" si="285"/>
        <v>2.3021828103683497E-2</v>
      </c>
      <c r="AI153" s="153">
        <f t="shared" si="286"/>
        <v>0.18244477311804591</v>
      </c>
      <c r="AJ153" s="153">
        <f t="shared" si="287"/>
        <v>0.3063964226693886</v>
      </c>
      <c r="AK153" s="153">
        <f t="shared" si="288"/>
        <v>1.3042642817795924</v>
      </c>
      <c r="AM153" s="317">
        <f t="shared" si="289"/>
        <v>43</v>
      </c>
      <c r="AN153" s="147">
        <f t="shared" si="290"/>
        <v>135.71482706872882</v>
      </c>
      <c r="AP153" s="147">
        <f t="shared" si="291"/>
        <v>43</v>
      </c>
      <c r="AQ153" s="147">
        <f t="shared" si="292"/>
        <v>135.71482706872882</v>
      </c>
      <c r="AS153" s="5">
        <f t="shared" si="263"/>
        <v>7.3683916606516338</v>
      </c>
      <c r="AT153" s="5">
        <f t="shared" si="293"/>
        <v>5.1066070444898095</v>
      </c>
      <c r="AU153" s="5">
        <f t="shared" si="230"/>
        <v>2.2617846161618242</v>
      </c>
      <c r="AV153" s="5"/>
      <c r="AW153" s="153">
        <f t="shared" si="231"/>
        <v>0.69304229195088685</v>
      </c>
      <c r="AX153" s="153">
        <f t="shared" si="259"/>
        <v>0.95555555555555594</v>
      </c>
      <c r="AY153" s="153">
        <f t="shared" si="260"/>
        <v>4.7025371828521428E-2</v>
      </c>
      <c r="AZ153" s="153">
        <f t="shared" si="264"/>
        <v>20.320000000000011</v>
      </c>
      <c r="BA153" s="147">
        <f t="shared" si="294"/>
        <v>7.5578700647486725</v>
      </c>
      <c r="BB153" s="147">
        <f t="shared" si="295"/>
        <v>10.675702848148148</v>
      </c>
      <c r="BC153" s="5">
        <f t="shared" si="258"/>
        <v>0.24014009504928011</v>
      </c>
      <c r="BD153" s="147">
        <f t="shared" si="296"/>
        <v>24.332528023446532</v>
      </c>
      <c r="BF153" s="153">
        <f t="shared" si="265"/>
        <v>0.14726614956000017</v>
      </c>
      <c r="BG153" s="153">
        <f t="shared" si="261"/>
        <v>9.8008182321534812E-2</v>
      </c>
      <c r="BI153" s="463">
        <f t="shared" si="236"/>
        <v>7.590561582179918E-3</v>
      </c>
      <c r="BJ153" s="463">
        <f t="shared" si="237"/>
        <v>6.0960000000000025E-3</v>
      </c>
      <c r="BK153" s="463">
        <f t="shared" si="238"/>
        <v>1.6964353383591103E-3</v>
      </c>
      <c r="BL153" s="463">
        <f t="shared" si="239"/>
        <v>5.8334466976744208E-3</v>
      </c>
      <c r="BM153">
        <f t="shared" si="240"/>
        <v>2.6099999999999999E-3</v>
      </c>
      <c r="BN153">
        <f t="shared" si="297"/>
        <v>1.3571482706872883E-6</v>
      </c>
      <c r="BO153" s="463">
        <f t="shared" si="298"/>
        <v>2.4887380326184167E-2</v>
      </c>
      <c r="BP153" s="147">
        <f t="shared" si="243"/>
        <v>23.826443618213453</v>
      </c>
      <c r="BQ153" s="463">
        <f t="shared" si="299"/>
        <v>2.376468130470601E-2</v>
      </c>
      <c r="BT153" s="147">
        <f t="shared" si="245"/>
        <v>23.764681304706009</v>
      </c>
      <c r="BU153" s="463">
        <f t="shared" si="246"/>
        <v>1.7349855044982671E-2</v>
      </c>
      <c r="BV153" s="463">
        <f t="shared" si="247"/>
        <v>7.646060626369083E-3</v>
      </c>
      <c r="BW153" s="463">
        <f t="shared" si="248"/>
        <v>0</v>
      </c>
      <c r="BX153" s="463"/>
      <c r="BY153" s="463">
        <f t="shared" si="249"/>
        <v>1.911111111111112E-2</v>
      </c>
      <c r="BZ153" s="147">
        <f t="shared" si="250"/>
        <v>44.107026782462874</v>
      </c>
      <c r="CA153" s="153">
        <f t="shared" si="251"/>
        <v>9.1698151705382328E-2</v>
      </c>
      <c r="CB153" s="5">
        <f t="shared" si="252"/>
        <v>0.8600000000000001</v>
      </c>
      <c r="CC153" s="153">
        <f t="shared" si="253"/>
        <v>0.90364786193913993</v>
      </c>
      <c r="CD153" s="5">
        <f t="shared" si="254"/>
        <v>90.364786193914</v>
      </c>
      <c r="CG153" s="59">
        <f t="shared" si="300"/>
        <v>-50</v>
      </c>
      <c r="CH153">
        <f t="shared" si="301"/>
        <v>-50</v>
      </c>
    </row>
    <row r="154" spans="5:86" x14ac:dyDescent="0.25">
      <c r="E154" s="150">
        <v>44</v>
      </c>
      <c r="F154" s="191">
        <f t="shared" si="302"/>
        <v>4.4000000000000004E-2</v>
      </c>
      <c r="G154" s="191"/>
      <c r="H154" s="191">
        <f t="shared" si="266"/>
        <v>0.88000000000000012</v>
      </c>
      <c r="I154" s="472">
        <f t="shared" si="267"/>
        <v>9</v>
      </c>
      <c r="J154" s="386">
        <f t="shared" si="268"/>
        <v>20.32</v>
      </c>
      <c r="K154" s="386">
        <f t="shared" si="269"/>
        <v>29.32</v>
      </c>
      <c r="L154" s="386"/>
      <c r="M154" s="191">
        <f t="shared" si="270"/>
        <v>0.69304229195088674</v>
      </c>
      <c r="N154" s="152">
        <f t="shared" si="271"/>
        <v>2.1101682401091408</v>
      </c>
      <c r="O154" s="152">
        <f t="shared" si="262"/>
        <v>0.88000000000000012</v>
      </c>
      <c r="P154" s="191">
        <f t="shared" si="272"/>
        <v>0.10550841200545705</v>
      </c>
      <c r="Q154" s="191">
        <f t="shared" si="273"/>
        <v>20</v>
      </c>
      <c r="R154" s="191"/>
      <c r="S154" s="152">
        <f t="shared" si="274"/>
        <v>60.081771629743507</v>
      </c>
      <c r="T154" s="152">
        <f t="shared" si="275"/>
        <v>20</v>
      </c>
      <c r="U154" s="191">
        <f t="shared" si="276"/>
        <v>0.31352192087100228</v>
      </c>
      <c r="V154" s="191">
        <f t="shared" si="277"/>
        <v>5.2253653478500377</v>
      </c>
      <c r="W154" s="191">
        <f t="shared" si="278"/>
        <v>2.3143842583981469</v>
      </c>
      <c r="X154" s="175">
        <f t="shared" si="279"/>
        <v>277.21691678035478</v>
      </c>
      <c r="Y154" s="386">
        <f t="shared" si="215"/>
        <v>132.63039918080312</v>
      </c>
      <c r="AA154" s="191">
        <f t="shared" si="280"/>
        <v>0.14999999999999997</v>
      </c>
      <c r="AB154" s="153">
        <f t="shared" si="281"/>
        <v>1.1072834645669287</v>
      </c>
      <c r="AC154" s="153">
        <f t="shared" si="282"/>
        <v>2.3021828103683487E-2</v>
      </c>
      <c r="AD154" s="153"/>
      <c r="AE154" s="153">
        <f t="shared" si="283"/>
        <v>1.1072834645669289</v>
      </c>
      <c r="AF154" s="317">
        <f t="shared" si="284"/>
        <v>529.82518518518532</v>
      </c>
      <c r="AG154" s="463">
        <f t="shared" si="285"/>
        <v>2.3021828103683497E-2</v>
      </c>
      <c r="AI154" s="153">
        <f t="shared" si="286"/>
        <v>0.18455403131926024</v>
      </c>
      <c r="AJ154" s="153">
        <f t="shared" si="287"/>
        <v>0.31352192087100228</v>
      </c>
      <c r="AK154" s="153">
        <f t="shared" si="288"/>
        <v>1.3090146139140015</v>
      </c>
      <c r="AM154" s="317">
        <f t="shared" si="289"/>
        <v>44.000000000000007</v>
      </c>
      <c r="AN154" s="147">
        <f t="shared" si="290"/>
        <v>132.63039918080312</v>
      </c>
      <c r="AP154" s="147">
        <f t="shared" si="291"/>
        <v>44.000000000000007</v>
      </c>
      <c r="AQ154" s="147">
        <f t="shared" si="292"/>
        <v>132.63039918080312</v>
      </c>
      <c r="AS154" s="5">
        <f t="shared" si="263"/>
        <v>7.5397496062481855</v>
      </c>
      <c r="AT154" s="5">
        <f t="shared" si="293"/>
        <v>5.2253653478500377</v>
      </c>
      <c r="AU154" s="5">
        <f t="shared" si="230"/>
        <v>2.3143842583981478</v>
      </c>
      <c r="AV154" s="5"/>
      <c r="AW154" s="153">
        <f t="shared" si="231"/>
        <v>0.69304229195088662</v>
      </c>
      <c r="AX154" s="153">
        <f t="shared" si="259"/>
        <v>0.97777777777777775</v>
      </c>
      <c r="AY154" s="153">
        <f t="shared" si="260"/>
        <v>4.8118985126859172E-2</v>
      </c>
      <c r="AZ154" s="153">
        <f t="shared" si="264"/>
        <v>20.319999999999986</v>
      </c>
      <c r="BA154" s="147">
        <f t="shared" si="294"/>
        <v>7.5578700647486725</v>
      </c>
      <c r="BB154" s="147">
        <f t="shared" si="295"/>
        <v>11.174951170370372</v>
      </c>
      <c r="BC154" s="5">
        <f t="shared" si="258"/>
        <v>0.2514392774556013</v>
      </c>
      <c r="BD154" s="147">
        <f t="shared" si="296"/>
        <v>25.469853671486057</v>
      </c>
      <c r="BF154" s="153">
        <f t="shared" si="265"/>
        <v>0.15069094373581407</v>
      </c>
      <c r="BG154" s="153">
        <f t="shared" si="261"/>
        <v>0.10028744237552403</v>
      </c>
      <c r="BI154" s="463">
        <f t="shared" si="236"/>
        <v>7.9477161833965988E-3</v>
      </c>
      <c r="BJ154" s="463">
        <f t="shared" si="237"/>
        <v>6.095999999999999E-3</v>
      </c>
      <c r="BK154" s="463">
        <f t="shared" si="238"/>
        <v>1.657879989760039E-3</v>
      </c>
      <c r="BL154" s="463">
        <f t="shared" si="239"/>
        <v>5.7008683636363636E-3</v>
      </c>
      <c r="BM154">
        <f t="shared" si="240"/>
        <v>2.6099999999999999E-3</v>
      </c>
      <c r="BN154">
        <f t="shared" si="297"/>
        <v>1.3263039918080312E-6</v>
      </c>
      <c r="BO154" s="463">
        <f t="shared" si="298"/>
        <v>2.5123572567522942E-2</v>
      </c>
      <c r="BP154" s="147">
        <f t="shared" si="243"/>
        <v>24.012464536793004</v>
      </c>
      <c r="BQ154" s="463">
        <f t="shared" si="299"/>
        <v>2.4491984319043179E-2</v>
      </c>
      <c r="BT154" s="147">
        <f t="shared" si="245"/>
        <v>24.49198431904318</v>
      </c>
      <c r="BU154" s="463">
        <f t="shared" si="246"/>
        <v>1.8166208419192226E-2</v>
      </c>
      <c r="BV154" s="463">
        <f t="shared" si="247"/>
        <v>8.0058265941863466E-3</v>
      </c>
      <c r="BW154" s="463">
        <f t="shared" si="248"/>
        <v>0</v>
      </c>
      <c r="BX154" s="463"/>
      <c r="BY154" s="463">
        <f t="shared" si="249"/>
        <v>1.9555555555555559E-2</v>
      </c>
      <c r="BZ154" s="147">
        <f t="shared" si="250"/>
        <v>45.727590568934133</v>
      </c>
      <c r="CA154" s="153">
        <f t="shared" si="251"/>
        <v>9.423203942477032E-2</v>
      </c>
      <c r="CB154" s="5">
        <f t="shared" si="252"/>
        <v>0.88000000000000012</v>
      </c>
      <c r="CC154" s="153">
        <f t="shared" si="253"/>
        <v>0.90327556925718733</v>
      </c>
      <c r="CD154" s="5">
        <f t="shared" si="254"/>
        <v>90.327556925718739</v>
      </c>
      <c r="CG154" s="59">
        <f t="shared" si="300"/>
        <v>-50</v>
      </c>
      <c r="CH154">
        <f t="shared" si="301"/>
        <v>-50</v>
      </c>
    </row>
    <row r="155" spans="5:86" x14ac:dyDescent="0.25">
      <c r="E155" s="150">
        <v>45</v>
      </c>
      <c r="F155" s="191">
        <f t="shared" si="302"/>
        <v>4.5000000000000005E-2</v>
      </c>
      <c r="G155" s="191"/>
      <c r="H155" s="191">
        <f t="shared" si="266"/>
        <v>0.90000000000000013</v>
      </c>
      <c r="I155" s="472">
        <f t="shared" si="267"/>
        <v>9</v>
      </c>
      <c r="J155" s="386">
        <f t="shared" si="268"/>
        <v>20.32</v>
      </c>
      <c r="K155" s="386">
        <f t="shared" si="269"/>
        <v>29.32</v>
      </c>
      <c r="L155" s="386"/>
      <c r="M155" s="191">
        <f t="shared" si="270"/>
        <v>0.69304229195088674</v>
      </c>
      <c r="N155" s="152">
        <f t="shared" si="271"/>
        <v>2.1101682401091408</v>
      </c>
      <c r="O155" s="152">
        <f t="shared" si="262"/>
        <v>0.90000000000000013</v>
      </c>
      <c r="P155" s="191">
        <f t="shared" si="272"/>
        <v>0.10550841200545705</v>
      </c>
      <c r="Q155" s="191">
        <f t="shared" si="273"/>
        <v>20</v>
      </c>
      <c r="R155" s="191"/>
      <c r="S155" s="152">
        <f t="shared" si="274"/>
        <v>58.548922247767308</v>
      </c>
      <c r="T155" s="152">
        <f t="shared" si="275"/>
        <v>20</v>
      </c>
      <c r="U155" s="191">
        <f t="shared" si="276"/>
        <v>0.32064741907261601</v>
      </c>
      <c r="V155" s="191">
        <f t="shared" si="277"/>
        <v>5.3441236512102659</v>
      </c>
      <c r="W155" s="191">
        <f t="shared" si="278"/>
        <v>2.3669839006344682</v>
      </c>
      <c r="X155" s="175">
        <f t="shared" si="279"/>
        <v>277.21691678035478</v>
      </c>
      <c r="Y155" s="386">
        <f t="shared" si="215"/>
        <v>129.68305697678531</v>
      </c>
      <c r="AA155" s="191">
        <f t="shared" si="280"/>
        <v>0.14999999999999997</v>
      </c>
      <c r="AB155" s="153">
        <f t="shared" si="281"/>
        <v>1.1072834645669287</v>
      </c>
      <c r="AC155" s="153">
        <f t="shared" si="282"/>
        <v>2.3021828103683487E-2</v>
      </c>
      <c r="AD155" s="153"/>
      <c r="AE155" s="153">
        <f t="shared" si="283"/>
        <v>1.1072834645669289</v>
      </c>
      <c r="AF155" s="317">
        <f t="shared" si="284"/>
        <v>541.86666666666679</v>
      </c>
      <c r="AG155" s="463">
        <f t="shared" si="285"/>
        <v>2.3021828103683497E-2</v>
      </c>
      <c r="AI155" s="153">
        <f t="shared" si="286"/>
        <v>0.18663945379872318</v>
      </c>
      <c r="AJ155" s="153">
        <f t="shared" si="287"/>
        <v>0.32064741907261601</v>
      </c>
      <c r="AK155" s="153">
        <f t="shared" si="288"/>
        <v>1.3137649460484107</v>
      </c>
      <c r="AM155" s="317">
        <f t="shared" si="289"/>
        <v>45.000000000000007</v>
      </c>
      <c r="AN155" s="147">
        <f t="shared" si="290"/>
        <v>129.68305697678531</v>
      </c>
      <c r="AP155" s="147">
        <f t="shared" si="291"/>
        <v>45.000000000000007</v>
      </c>
      <c r="AQ155" s="147">
        <f t="shared" si="292"/>
        <v>129.68305697678531</v>
      </c>
      <c r="AS155" s="5">
        <f t="shared" si="263"/>
        <v>7.7111075518447327</v>
      </c>
      <c r="AT155" s="5">
        <f t="shared" si="293"/>
        <v>5.3441236512102659</v>
      </c>
      <c r="AU155" s="5">
        <f t="shared" si="230"/>
        <v>2.3669839006344668</v>
      </c>
      <c r="AV155" s="5"/>
      <c r="AW155" s="153">
        <f t="shared" si="231"/>
        <v>0.69304229195088685</v>
      </c>
      <c r="AX155" s="153">
        <f t="shared" si="259"/>
        <v>1.0000000000000004</v>
      </c>
      <c r="AY155" s="153">
        <f t="shared" si="260"/>
        <v>4.9212598425196853E-2</v>
      </c>
      <c r="AZ155" s="153">
        <f t="shared" si="264"/>
        <v>20.320000000000007</v>
      </c>
      <c r="BA155" s="147">
        <f t="shared" si="294"/>
        <v>7.5578700647486725</v>
      </c>
      <c r="BB155" s="147">
        <f t="shared" si="295"/>
        <v>11.685607499999998</v>
      </c>
      <c r="BC155" s="5">
        <f t="shared" si="258"/>
        <v>0.26299821118160749</v>
      </c>
      <c r="BD155" s="147">
        <f t="shared" si="296"/>
        <v>26.633154451494086</v>
      </c>
      <c r="BF155" s="153">
        <f t="shared" si="265"/>
        <v>0.15411573791162808</v>
      </c>
      <c r="BG155" s="153">
        <f t="shared" si="261"/>
        <v>0.10256670242951318</v>
      </c>
      <c r="BI155" s="463">
        <f t="shared" si="236"/>
        <v>8.3130812352159734E-3</v>
      </c>
      <c r="BJ155" s="463">
        <f t="shared" si="237"/>
        <v>6.0960000000000025E-3</v>
      </c>
      <c r="BK155" s="463">
        <f t="shared" si="238"/>
        <v>1.6210382122098163E-3</v>
      </c>
      <c r="BL155" s="463">
        <f t="shared" si="239"/>
        <v>5.5741824000000014E-3</v>
      </c>
      <c r="BM155">
        <f t="shared" si="240"/>
        <v>2.6099999999999999E-3</v>
      </c>
      <c r="BN155">
        <f t="shared" si="297"/>
        <v>1.2968305697678532E-6</v>
      </c>
      <c r="BO155" s="463">
        <f t="shared" si="298"/>
        <v>2.5376786633528388E-2</v>
      </c>
      <c r="BP155" s="147">
        <f t="shared" si="243"/>
        <v>24.214301847425798</v>
      </c>
      <c r="BQ155" s="463">
        <f t="shared" si="299"/>
        <v>2.5227225333709934E-2</v>
      </c>
      <c r="BT155" s="147">
        <f t="shared" si="245"/>
        <v>25.227225333709935</v>
      </c>
      <c r="BU155" s="463">
        <f t="shared" si="246"/>
        <v>1.9001328537636513E-2</v>
      </c>
      <c r="BV155" s="463">
        <f t="shared" si="247"/>
        <v>8.3738630440223869E-3</v>
      </c>
      <c r="BW155" s="463">
        <f t="shared" si="248"/>
        <v>0</v>
      </c>
      <c r="BX155" s="463"/>
      <c r="BY155" s="463">
        <f t="shared" si="249"/>
        <v>2.0000000000000011E-2</v>
      </c>
      <c r="BZ155" s="147">
        <f t="shared" si="250"/>
        <v>47.37519158165891</v>
      </c>
      <c r="CA155" s="153">
        <f t="shared" si="251"/>
        <v>9.6816718762794657E-2</v>
      </c>
      <c r="CB155" s="5">
        <f t="shared" si="252"/>
        <v>0.90000000000000013</v>
      </c>
      <c r="CC155" s="153">
        <f t="shared" si="253"/>
        <v>0.90287410218905706</v>
      </c>
      <c r="CD155" s="5">
        <f t="shared" si="254"/>
        <v>90.287410218905706</v>
      </c>
      <c r="CG155" s="59">
        <f t="shared" si="300"/>
        <v>-50</v>
      </c>
      <c r="CH155">
        <f t="shared" si="301"/>
        <v>-50</v>
      </c>
    </row>
    <row r="156" spans="5:86" s="59" customFormat="1" x14ac:dyDescent="0.25">
      <c r="E156" s="150">
        <v>46</v>
      </c>
      <c r="F156" s="191">
        <f t="shared" si="302"/>
        <v>4.6000000000000006E-2</v>
      </c>
      <c r="G156" s="191"/>
      <c r="H156" s="191">
        <f t="shared" si="266"/>
        <v>0.92000000000000015</v>
      </c>
      <c r="I156" s="472">
        <f t="shared" si="267"/>
        <v>9</v>
      </c>
      <c r="J156" s="386">
        <f t="shared" si="268"/>
        <v>20.32</v>
      </c>
      <c r="K156" s="386">
        <f t="shared" si="269"/>
        <v>29.32</v>
      </c>
      <c r="L156" s="386"/>
      <c r="M156" s="191">
        <f t="shared" si="270"/>
        <v>0.69304229195088674</v>
      </c>
      <c r="N156" s="152">
        <f t="shared" si="271"/>
        <v>2.1101682401091408</v>
      </c>
      <c r="O156" s="152">
        <f t="shared" si="262"/>
        <v>0.92000000000000015</v>
      </c>
      <c r="P156" s="191">
        <f t="shared" si="272"/>
        <v>0.10550841200545705</v>
      </c>
      <c r="Q156" s="191">
        <f t="shared" si="273"/>
        <v>20</v>
      </c>
      <c r="R156" s="191"/>
      <c r="S156" s="152">
        <f t="shared" si="274"/>
        <v>57.082780481336592</v>
      </c>
      <c r="T156" s="152">
        <f t="shared" si="275"/>
        <v>20</v>
      </c>
      <c r="U156" s="191">
        <f t="shared" si="276"/>
        <v>0.32777291727422969</v>
      </c>
      <c r="V156" s="191">
        <f t="shared" si="277"/>
        <v>5.462881954570495</v>
      </c>
      <c r="W156" s="191">
        <f t="shared" si="278"/>
        <v>2.4195835428707899</v>
      </c>
      <c r="X156" s="175">
        <f t="shared" si="279"/>
        <v>277.21691678035478</v>
      </c>
      <c r="Y156" s="386">
        <f t="shared" si="215"/>
        <v>126.86386008598561</v>
      </c>
      <c r="AA156" s="191">
        <f t="shared" si="280"/>
        <v>0.14999999999999997</v>
      </c>
      <c r="AB156" s="469">
        <f t="shared" si="281"/>
        <v>1.1072834645669287</v>
      </c>
      <c r="AC156" s="469">
        <f t="shared" si="282"/>
        <v>2.3021828103683487E-2</v>
      </c>
      <c r="AD156" s="469"/>
      <c r="AE156" s="469">
        <f t="shared" si="283"/>
        <v>1.1072834645669289</v>
      </c>
      <c r="AF156" s="317">
        <f t="shared" si="284"/>
        <v>553.90814814814837</v>
      </c>
      <c r="AG156" s="504">
        <f t="shared" si="285"/>
        <v>2.3021828103683497E-2</v>
      </c>
      <c r="AI156" s="469">
        <f t="shared" si="286"/>
        <v>0.18870183081353759</v>
      </c>
      <c r="AJ156" s="469">
        <f t="shared" si="287"/>
        <v>0.32777291727422969</v>
      </c>
      <c r="AK156" s="153">
        <f t="shared" si="288"/>
        <v>1.3185152781828198</v>
      </c>
      <c r="AM156" s="491">
        <f t="shared" si="289"/>
        <v>46.000000000000007</v>
      </c>
      <c r="AN156" s="492">
        <f t="shared" si="290"/>
        <v>126.86386008598561</v>
      </c>
      <c r="AP156" s="59">
        <f t="shared" si="291"/>
        <v>46.000000000000007</v>
      </c>
      <c r="AQ156" s="59">
        <f t="shared" si="292"/>
        <v>126.86386008598561</v>
      </c>
      <c r="AS156" s="170">
        <f t="shared" si="263"/>
        <v>7.8824654974412844</v>
      </c>
      <c r="AT156" s="5">
        <f t="shared" si="293"/>
        <v>5.462881954570495</v>
      </c>
      <c r="AU156" s="5">
        <f t="shared" si="230"/>
        <v>2.4195835428707895</v>
      </c>
      <c r="AV156" s="5"/>
      <c r="AW156" s="153">
        <f t="shared" si="231"/>
        <v>0.69304229195088685</v>
      </c>
      <c r="AX156" s="153">
        <f t="shared" si="259"/>
        <v>1.0222222222222224</v>
      </c>
      <c r="AY156" s="153">
        <f t="shared" si="260"/>
        <v>5.0306211723534555E-2</v>
      </c>
      <c r="AZ156" s="153">
        <f t="shared" si="264"/>
        <v>20.320000000000004</v>
      </c>
      <c r="BA156" s="147">
        <f t="shared" si="294"/>
        <v>7.5578700647486725</v>
      </c>
      <c r="BB156" s="147">
        <f t="shared" si="295"/>
        <v>12.207671837037038</v>
      </c>
      <c r="BC156" s="5">
        <f t="shared" si="258"/>
        <v>0.2748168962272996</v>
      </c>
      <c r="BD156" s="147">
        <f t="shared" si="296"/>
        <v>27.822430363470705</v>
      </c>
      <c r="BF156" s="153">
        <f t="shared" si="265"/>
        <v>0.15754053208744204</v>
      </c>
      <c r="BG156" s="153">
        <f t="shared" si="261"/>
        <v>0.10484596248350236</v>
      </c>
      <c r="BI156" s="463">
        <f t="shared" si="236"/>
        <v>8.6866567376380228E-3</v>
      </c>
      <c r="BJ156" s="463">
        <f t="shared" si="237"/>
        <v>6.0959999999999999E-3</v>
      </c>
      <c r="BK156" s="463">
        <f t="shared" si="238"/>
        <v>1.58579825107482E-3</v>
      </c>
      <c r="BL156" s="463">
        <f t="shared" si="239"/>
        <v>5.4530045217391302E-3</v>
      </c>
      <c r="BM156">
        <f t="shared" si="240"/>
        <v>2.6099999999999999E-3</v>
      </c>
      <c r="BN156">
        <f t="shared" si="297"/>
        <v>1.268638600859856E-6</v>
      </c>
      <c r="BO156" s="463">
        <f t="shared" si="298"/>
        <v>2.5646530199136791E-2</v>
      </c>
      <c r="BP156" s="147">
        <f t="shared" si="243"/>
        <v>24.431459510451976</v>
      </c>
      <c r="BQ156" s="463">
        <f t="shared" si="299"/>
        <v>2.5970404348706282E-2</v>
      </c>
      <c r="BT156" s="147">
        <f t="shared" si="245"/>
        <v>25.970404348706282</v>
      </c>
      <c r="BU156" s="463">
        <f t="shared" si="246"/>
        <v>1.9855215400315485E-2</v>
      </c>
      <c r="BV156" s="463">
        <f t="shared" si="247"/>
        <v>8.7501699758772197E-3</v>
      </c>
      <c r="BW156" s="463">
        <f t="shared" si="248"/>
        <v>0</v>
      </c>
      <c r="BX156" s="463"/>
      <c r="BY156" s="463">
        <f t="shared" si="249"/>
        <v>2.0444444444444453E-2</v>
      </c>
      <c r="BZ156" s="147">
        <f t="shared" si="250"/>
        <v>49.049829820637157</v>
      </c>
      <c r="CA156" s="153">
        <f t="shared" si="251"/>
        <v>9.9451693679795422E-2</v>
      </c>
      <c r="CB156" s="5">
        <f t="shared" si="252"/>
        <v>0.92000000000000015</v>
      </c>
      <c r="CC156" s="153">
        <f t="shared" si="253"/>
        <v>0.90244589881368853</v>
      </c>
      <c r="CD156" s="5">
        <f t="shared" si="254"/>
        <v>90.244589881368853</v>
      </c>
      <c r="CG156" s="59">
        <f t="shared" si="300"/>
        <v>-50</v>
      </c>
      <c r="CH156">
        <f t="shared" si="301"/>
        <v>-50</v>
      </c>
    </row>
    <row r="157" spans="5:86" x14ac:dyDescent="0.25">
      <c r="E157" s="150">
        <v>47</v>
      </c>
      <c r="F157" s="191">
        <f t="shared" si="302"/>
        <v>4.7E-2</v>
      </c>
      <c r="G157" s="191"/>
      <c r="H157" s="191">
        <f t="shared" si="266"/>
        <v>0.94</v>
      </c>
      <c r="I157" s="472">
        <f t="shared" si="267"/>
        <v>9</v>
      </c>
      <c r="J157" s="386">
        <f t="shared" si="268"/>
        <v>20.32</v>
      </c>
      <c r="K157" s="386">
        <f t="shared" si="269"/>
        <v>29.32</v>
      </c>
      <c r="L157" s="386"/>
      <c r="M157" s="191">
        <f t="shared" si="270"/>
        <v>0.69304229195088674</v>
      </c>
      <c r="N157" s="152">
        <f t="shared" si="271"/>
        <v>2.1101682401091408</v>
      </c>
      <c r="O157" s="152">
        <f t="shared" si="262"/>
        <v>0.94</v>
      </c>
      <c r="P157" s="191">
        <f t="shared" si="272"/>
        <v>0.10550841200545705</v>
      </c>
      <c r="Q157" s="191">
        <f t="shared" si="273"/>
        <v>20</v>
      </c>
      <c r="R157" s="191"/>
      <c r="S157" s="152">
        <f t="shared" si="274"/>
        <v>55.679088982558952</v>
      </c>
      <c r="T157" s="152">
        <f t="shared" si="275"/>
        <v>20</v>
      </c>
      <c r="U157" s="191">
        <f t="shared" si="276"/>
        <v>0.33489841547584331</v>
      </c>
      <c r="V157" s="191">
        <f t="shared" si="277"/>
        <v>5.5816402579307214</v>
      </c>
      <c r="W157" s="191">
        <f t="shared" si="278"/>
        <v>2.4721831851071108</v>
      </c>
      <c r="X157" s="175">
        <f t="shared" si="279"/>
        <v>277.21691678035478</v>
      </c>
      <c r="Y157" s="386">
        <f t="shared" si="215"/>
        <v>124.16462902032636</v>
      </c>
      <c r="AA157" s="191">
        <f t="shared" si="280"/>
        <v>0.14999999999999997</v>
      </c>
      <c r="AB157" s="153">
        <f t="shared" si="281"/>
        <v>1.1072834645669287</v>
      </c>
      <c r="AC157" s="153">
        <f t="shared" si="282"/>
        <v>2.3021828103683487E-2</v>
      </c>
      <c r="AD157" s="153"/>
      <c r="AE157" s="153">
        <f t="shared" si="283"/>
        <v>1.1072834645669289</v>
      </c>
      <c r="AF157" s="317">
        <f t="shared" si="284"/>
        <v>565.94962962962961</v>
      </c>
      <c r="AG157" s="463">
        <f t="shared" si="285"/>
        <v>2.3021828103683497E-2</v>
      </c>
      <c r="AI157" s="153">
        <f t="shared" si="286"/>
        <v>0.19074190989521991</v>
      </c>
      <c r="AJ157" s="153">
        <f t="shared" si="287"/>
        <v>0.33489841547584331</v>
      </c>
      <c r="AK157" s="153">
        <f t="shared" si="288"/>
        <v>1.3232656103172289</v>
      </c>
      <c r="AM157" s="317">
        <f t="shared" si="289"/>
        <v>47</v>
      </c>
      <c r="AN157" s="147">
        <f t="shared" si="290"/>
        <v>124.16462902032636</v>
      </c>
      <c r="AP157">
        <f t="shared" si="291"/>
        <v>47</v>
      </c>
      <c r="AQ157">
        <f t="shared" si="292"/>
        <v>124.16462902032636</v>
      </c>
      <c r="AS157" s="5">
        <f t="shared" si="263"/>
        <v>8.0538234430378317</v>
      </c>
      <c r="AT157" s="5">
        <f t="shared" si="293"/>
        <v>5.5816402579307214</v>
      </c>
      <c r="AU157" s="5">
        <f t="shared" si="230"/>
        <v>2.4721831851071103</v>
      </c>
      <c r="AV157" s="5"/>
      <c r="AW157" s="153">
        <f t="shared" si="231"/>
        <v>0.69304229195088685</v>
      </c>
      <c r="AX157" s="153">
        <f t="shared" si="259"/>
        <v>1.0444444444444445</v>
      </c>
      <c r="AY157" s="153">
        <f t="shared" si="260"/>
        <v>5.1399825021872257E-2</v>
      </c>
      <c r="AZ157" s="153">
        <f t="shared" si="264"/>
        <v>20.320000000000004</v>
      </c>
      <c r="BA157" s="147">
        <f t="shared" si="294"/>
        <v>7.5578700647486725</v>
      </c>
      <c r="BB157" s="147">
        <f t="shared" si="295"/>
        <v>12.741144181481479</v>
      </c>
      <c r="BC157" s="5">
        <f t="shared" si="258"/>
        <v>0.28689533259267697</v>
      </c>
      <c r="BD157" s="147">
        <f t="shared" si="296"/>
        <v>29.037681407415846</v>
      </c>
      <c r="BF157" s="153">
        <f t="shared" si="265"/>
        <v>0.16096532626325596</v>
      </c>
      <c r="BG157" s="153">
        <f t="shared" si="261"/>
        <v>0.10712522253749153</v>
      </c>
      <c r="BI157" s="463">
        <f t="shared" si="236"/>
        <v>9.0684426906627539E-3</v>
      </c>
      <c r="BJ157" s="463">
        <f t="shared" si="237"/>
        <v>6.0960000000000016E-3</v>
      </c>
      <c r="BK157" s="463">
        <f t="shared" si="238"/>
        <v>1.5520578627540795E-3</v>
      </c>
      <c r="BL157" s="463">
        <f t="shared" si="239"/>
        <v>5.3369831489361716E-3</v>
      </c>
      <c r="BM157">
        <f t="shared" si="240"/>
        <v>2.6099999999999999E-3</v>
      </c>
      <c r="BN157">
        <f t="shared" si="297"/>
        <v>1.2416462902032637E-6</v>
      </c>
      <c r="BO157" s="463">
        <f t="shared" si="298"/>
        <v>2.593235324981984E-2</v>
      </c>
      <c r="BP157" s="147">
        <f t="shared" si="243"/>
        <v>24.663483702353009</v>
      </c>
      <c r="BQ157" s="463">
        <f t="shared" si="299"/>
        <v>2.6721521364032212E-2</v>
      </c>
      <c r="BT157" s="147">
        <f t="shared" si="245"/>
        <v>26.721521364032213</v>
      </c>
      <c r="BU157" s="463">
        <f t="shared" si="246"/>
        <v>2.0727869007229154E-2</v>
      </c>
      <c r="BV157" s="463">
        <f t="shared" si="247"/>
        <v>9.1347473897508396E-3</v>
      </c>
      <c r="BW157" s="463">
        <f t="shared" si="248"/>
        <v>0</v>
      </c>
      <c r="BX157" s="463"/>
      <c r="BY157" s="463">
        <f t="shared" si="249"/>
        <v>2.0888888888888891E-2</v>
      </c>
      <c r="BZ157" s="147">
        <f t="shared" si="250"/>
        <v>50.751505285868888</v>
      </c>
      <c r="CA157" s="153">
        <f t="shared" si="251"/>
        <v>0.1021365103522541</v>
      </c>
      <c r="CB157" s="5">
        <f t="shared" si="252"/>
        <v>0.94</v>
      </c>
      <c r="CC157" s="153">
        <f t="shared" si="253"/>
        <v>0.90199315604274266</v>
      </c>
      <c r="CD157" s="5">
        <f t="shared" si="254"/>
        <v>90.199315604274261</v>
      </c>
      <c r="CG157" s="59">
        <f t="shared" si="300"/>
        <v>-50</v>
      </c>
      <c r="CH157">
        <f t="shared" si="301"/>
        <v>-50</v>
      </c>
    </row>
    <row r="158" spans="5:86" x14ac:dyDescent="0.25">
      <c r="E158" s="150">
        <v>48</v>
      </c>
      <c r="F158" s="191">
        <f t="shared" si="302"/>
        <v>4.8000000000000001E-2</v>
      </c>
      <c r="G158" s="191"/>
      <c r="H158" s="191">
        <f t="shared" si="266"/>
        <v>0.96</v>
      </c>
      <c r="I158" s="472">
        <f t="shared" si="267"/>
        <v>9</v>
      </c>
      <c r="J158" s="386">
        <f t="shared" si="268"/>
        <v>20.32</v>
      </c>
      <c r="K158" s="386">
        <f t="shared" si="269"/>
        <v>29.32</v>
      </c>
      <c r="L158" s="386"/>
      <c r="M158" s="191">
        <f t="shared" si="270"/>
        <v>0.69304229195088674</v>
      </c>
      <c r="N158" s="152">
        <f t="shared" si="271"/>
        <v>2.1101682401091408</v>
      </c>
      <c r="O158" s="152">
        <f t="shared" si="262"/>
        <v>0.96</v>
      </c>
      <c r="P158" s="191">
        <f t="shared" si="272"/>
        <v>0.10550841200545705</v>
      </c>
      <c r="Q158" s="191">
        <f t="shared" si="273"/>
        <v>20</v>
      </c>
      <c r="R158" s="191"/>
      <c r="S158" s="152">
        <f t="shared" si="274"/>
        <v>54.333945189524066</v>
      </c>
      <c r="T158" s="152">
        <f t="shared" si="275"/>
        <v>20</v>
      </c>
      <c r="U158" s="191">
        <f t="shared" si="276"/>
        <v>0.34202391367745699</v>
      </c>
      <c r="V158" s="191">
        <f t="shared" si="277"/>
        <v>5.7003985612909496</v>
      </c>
      <c r="W158" s="191">
        <f t="shared" si="278"/>
        <v>2.5247828273434325</v>
      </c>
      <c r="X158" s="175">
        <f t="shared" si="279"/>
        <v>277.21691678035478</v>
      </c>
      <c r="Y158" s="386">
        <f t="shared" si="215"/>
        <v>121.57786591573621</v>
      </c>
      <c r="AA158" s="191">
        <f t="shared" si="280"/>
        <v>0.14999999999999997</v>
      </c>
      <c r="AB158" s="153">
        <f t="shared" si="281"/>
        <v>1.1072834645669287</v>
      </c>
      <c r="AC158" s="153">
        <f t="shared" si="282"/>
        <v>2.3021828103683487E-2</v>
      </c>
      <c r="AD158" s="153"/>
      <c r="AE158" s="153">
        <f t="shared" si="283"/>
        <v>1.1072834645669289</v>
      </c>
      <c r="AF158" s="317">
        <f t="shared" si="284"/>
        <v>577.99111111111108</v>
      </c>
      <c r="AG158" s="463">
        <f t="shared" si="285"/>
        <v>2.3021828103683497E-2</v>
      </c>
      <c r="AI158" s="153">
        <f t="shared" si="286"/>
        <v>0.19276039901538758</v>
      </c>
      <c r="AJ158" s="153">
        <f t="shared" si="287"/>
        <v>0.34202391367745699</v>
      </c>
      <c r="AK158" s="153">
        <f t="shared" si="288"/>
        <v>1.328015942451638</v>
      </c>
      <c r="AM158" s="317">
        <f t="shared" si="289"/>
        <v>48</v>
      </c>
      <c r="AN158" s="147">
        <f t="shared" si="290"/>
        <v>121.57786591573621</v>
      </c>
      <c r="AP158">
        <f t="shared" si="291"/>
        <v>48</v>
      </c>
      <c r="AQ158">
        <f t="shared" si="292"/>
        <v>121.57786591573621</v>
      </c>
      <c r="AS158" s="5">
        <f t="shared" si="263"/>
        <v>8.2251813886343825</v>
      </c>
      <c r="AT158" s="5">
        <f t="shared" si="293"/>
        <v>5.7003985612909496</v>
      </c>
      <c r="AU158" s="5">
        <f t="shared" si="230"/>
        <v>2.524782827343433</v>
      </c>
      <c r="AV158" s="5"/>
      <c r="AW158" s="153">
        <f t="shared" si="231"/>
        <v>0.69304229195088674</v>
      </c>
      <c r="AX158" s="153">
        <f t="shared" si="259"/>
        <v>1.0666666666666662</v>
      </c>
      <c r="AY158" s="153">
        <f t="shared" si="260"/>
        <v>5.249343832020998E-2</v>
      </c>
      <c r="AZ158" s="153">
        <f t="shared" si="264"/>
        <v>20.31999999999999</v>
      </c>
      <c r="BA158" s="147">
        <f t="shared" si="294"/>
        <v>7.5578700647486725</v>
      </c>
      <c r="BB158" s="147">
        <f t="shared" si="295"/>
        <v>13.286024533333331</v>
      </c>
      <c r="BC158" s="5">
        <f t="shared" si="258"/>
        <v>0.29923352027774019</v>
      </c>
      <c r="BD158" s="147">
        <f t="shared" si="296"/>
        <v>30.278907583329577</v>
      </c>
      <c r="BF158" s="153">
        <f t="shared" si="265"/>
        <v>0.16439012043906989</v>
      </c>
      <c r="BG158" s="153">
        <f t="shared" si="261"/>
        <v>0.10940448259148072</v>
      </c>
      <c r="BI158" s="463">
        <f t="shared" si="236"/>
        <v>9.4584390942901667E-3</v>
      </c>
      <c r="BJ158" s="463">
        <f t="shared" si="237"/>
        <v>6.095999999999999E-3</v>
      </c>
      <c r="BK158" s="463">
        <f t="shared" si="238"/>
        <v>1.5197233239467025E-3</v>
      </c>
      <c r="BL158" s="463">
        <f t="shared" si="239"/>
        <v>5.2257959999999996E-3</v>
      </c>
      <c r="BM158">
        <f t="shared" si="240"/>
        <v>2.6099999999999999E-3</v>
      </c>
      <c r="BN158">
        <f t="shared" si="297"/>
        <v>1.215778659157362E-6</v>
      </c>
      <c r="BO158" s="463">
        <f t="shared" si="298"/>
        <v>2.6233843683366179E-2</v>
      </c>
      <c r="BP158" s="147">
        <f t="shared" si="243"/>
        <v>24.909958418236872</v>
      </c>
      <c r="BQ158" s="463">
        <f t="shared" si="299"/>
        <v>2.7480576379687743E-2</v>
      </c>
      <c r="BT158" s="147">
        <f t="shared" si="245"/>
        <v>27.480576379687744</v>
      </c>
      <c r="BU158" s="463">
        <f t="shared" si="246"/>
        <v>2.1619289358377525E-2</v>
      </c>
      <c r="BV158" s="463">
        <f t="shared" si="247"/>
        <v>9.5275952856432485E-3</v>
      </c>
      <c r="BW158" s="463">
        <f t="shared" si="248"/>
        <v>0</v>
      </c>
      <c r="BX158" s="463"/>
      <c r="BY158" s="463">
        <f t="shared" si="249"/>
        <v>2.1333333333333333E-2</v>
      </c>
      <c r="BZ158" s="147">
        <f t="shared" si="250"/>
        <v>52.480217977354108</v>
      </c>
      <c r="CA158" s="153">
        <f t="shared" si="251"/>
        <v>0.10487075277527871</v>
      </c>
      <c r="CB158" s="5">
        <f t="shared" si="252"/>
        <v>0.96</v>
      </c>
      <c r="CC158" s="153">
        <f t="shared" si="253"/>
        <v>0.90151785791659378</v>
      </c>
      <c r="CD158" s="5">
        <f t="shared" si="254"/>
        <v>90.151785791659378</v>
      </c>
      <c r="CG158" s="59">
        <f t="shared" si="300"/>
        <v>-50</v>
      </c>
      <c r="CH158">
        <f t="shared" si="301"/>
        <v>-50</v>
      </c>
    </row>
    <row r="159" spans="5:86" x14ac:dyDescent="0.25">
      <c r="E159" s="150">
        <v>49</v>
      </c>
      <c r="F159" s="191">
        <f t="shared" si="302"/>
        <v>4.9000000000000002E-2</v>
      </c>
      <c r="G159" s="191"/>
      <c r="H159" s="191">
        <f t="shared" si="266"/>
        <v>0.98</v>
      </c>
      <c r="I159" s="472">
        <f t="shared" si="267"/>
        <v>9</v>
      </c>
      <c r="J159" s="386">
        <f t="shared" si="268"/>
        <v>20.32</v>
      </c>
      <c r="K159" s="386">
        <f t="shared" si="269"/>
        <v>29.32</v>
      </c>
      <c r="L159" s="386"/>
      <c r="M159" s="191">
        <f t="shared" si="270"/>
        <v>0.69304229195088674</v>
      </c>
      <c r="N159" s="152">
        <f t="shared" si="271"/>
        <v>2.1101682401091408</v>
      </c>
      <c r="O159" s="152">
        <f t="shared" si="262"/>
        <v>0.98</v>
      </c>
      <c r="P159" s="191">
        <f t="shared" si="272"/>
        <v>0.10550841200545705</v>
      </c>
      <c r="Q159" s="191">
        <f t="shared" si="273"/>
        <v>20</v>
      </c>
      <c r="R159" s="191"/>
      <c r="S159" s="152">
        <f t="shared" si="274"/>
        <v>53.043765123750831</v>
      </c>
      <c r="T159" s="152">
        <f t="shared" si="275"/>
        <v>20</v>
      </c>
      <c r="U159" s="191">
        <f t="shared" si="276"/>
        <v>0.34914941187907067</v>
      </c>
      <c r="V159" s="191">
        <f t="shared" si="277"/>
        <v>5.8191568646511769</v>
      </c>
      <c r="W159" s="191">
        <f t="shared" si="278"/>
        <v>2.5773824695797538</v>
      </c>
      <c r="X159" s="175">
        <f t="shared" si="279"/>
        <v>277.21691678035478</v>
      </c>
      <c r="Y159" s="386">
        <f t="shared" si="215"/>
        <v>119.09668497868041</v>
      </c>
      <c r="AA159" s="191">
        <f t="shared" si="280"/>
        <v>0.14999999999999997</v>
      </c>
      <c r="AB159" s="153">
        <f t="shared" si="281"/>
        <v>1.1072834645669287</v>
      </c>
      <c r="AC159" s="153">
        <f t="shared" si="282"/>
        <v>2.3021828103683487E-2</v>
      </c>
      <c r="AD159" s="153"/>
      <c r="AE159" s="153">
        <f t="shared" si="283"/>
        <v>1.1072834645669289</v>
      </c>
      <c r="AF159" s="317">
        <f t="shared" si="284"/>
        <v>590.03259259259266</v>
      </c>
      <c r="AG159" s="463">
        <f t="shared" si="285"/>
        <v>2.3021828103683497E-2</v>
      </c>
      <c r="AI159" s="153">
        <f t="shared" si="286"/>
        <v>0.19475796945610896</v>
      </c>
      <c r="AJ159" s="153">
        <f t="shared" si="287"/>
        <v>0.34914941187907067</v>
      </c>
      <c r="AK159" s="153">
        <f t="shared" si="288"/>
        <v>1.3327662745860471</v>
      </c>
      <c r="AM159" s="317">
        <f t="shared" si="289"/>
        <v>49</v>
      </c>
      <c r="AN159" s="147">
        <f t="shared" si="290"/>
        <v>119.09668497868041</v>
      </c>
      <c r="AP159">
        <f t="shared" si="291"/>
        <v>49</v>
      </c>
      <c r="AQ159">
        <f t="shared" si="292"/>
        <v>119.09668497868041</v>
      </c>
      <c r="AS159" s="5">
        <f t="shared" si="263"/>
        <v>8.3965393342309298</v>
      </c>
      <c r="AT159" s="5">
        <f t="shared" si="293"/>
        <v>5.8191568646511769</v>
      </c>
      <c r="AU159" s="5">
        <f t="shared" si="230"/>
        <v>2.5773824695797529</v>
      </c>
      <c r="AV159" s="5"/>
      <c r="AW159" s="153">
        <f t="shared" si="231"/>
        <v>0.69304229195088685</v>
      </c>
      <c r="AX159" s="153">
        <f t="shared" si="259"/>
        <v>1.088888888888889</v>
      </c>
      <c r="AY159" s="153">
        <f t="shared" si="260"/>
        <v>5.3587051618547668E-2</v>
      </c>
      <c r="AZ159" s="153">
        <f t="shared" si="264"/>
        <v>20.320000000000007</v>
      </c>
      <c r="BA159" s="147">
        <f t="shared" si="294"/>
        <v>7.5578700647486725</v>
      </c>
      <c r="BB159" s="147">
        <f t="shared" si="295"/>
        <v>13.842312892592592</v>
      </c>
      <c r="BC159" s="5">
        <f t="shared" si="258"/>
        <v>0.31183145928248857</v>
      </c>
      <c r="BD159" s="147">
        <f t="shared" si="296"/>
        <v>31.546108891211816</v>
      </c>
      <c r="BF159" s="153">
        <f t="shared" si="265"/>
        <v>0.16781491461488388</v>
      </c>
      <c r="BG159" s="153">
        <f t="shared" si="261"/>
        <v>0.11168374264546989</v>
      </c>
      <c r="BI159" s="463">
        <f t="shared" si="236"/>
        <v>9.8566459485202682E-3</v>
      </c>
      <c r="BJ159" s="463">
        <f t="shared" si="237"/>
        <v>6.0960000000000025E-3</v>
      </c>
      <c r="BK159" s="463">
        <f t="shared" si="238"/>
        <v>1.4887085622335052E-3</v>
      </c>
      <c r="BL159" s="463">
        <f t="shared" si="239"/>
        <v>5.1191471020408186E-3</v>
      </c>
      <c r="BM159">
        <f t="shared" si="240"/>
        <v>2.6099999999999999E-3</v>
      </c>
      <c r="BN159">
        <f t="shared" si="297"/>
        <v>1.1909668497868041E-6</v>
      </c>
      <c r="BO159" s="463">
        <f t="shared" si="298"/>
        <v>2.655062345023345E-2</v>
      </c>
      <c r="BP159" s="147">
        <f t="shared" si="243"/>
        <v>25.170501612794595</v>
      </c>
      <c r="BQ159" s="463">
        <f t="shared" si="299"/>
        <v>2.8247569395672859E-2</v>
      </c>
      <c r="BT159" s="147">
        <f t="shared" si="245"/>
        <v>28.247569395672858</v>
      </c>
      <c r="BU159" s="463">
        <f t="shared" si="246"/>
        <v>2.2529476453760616E-2</v>
      </c>
      <c r="BV159" s="463">
        <f t="shared" si="247"/>
        <v>9.928713663554441E-3</v>
      </c>
      <c r="BW159" s="463">
        <f t="shared" si="248"/>
        <v>0</v>
      </c>
      <c r="BX159" s="463"/>
      <c r="BY159" s="463">
        <f t="shared" si="249"/>
        <v>2.1777777777777785E-2</v>
      </c>
      <c r="BZ159" s="147">
        <f t="shared" si="250"/>
        <v>54.235967895092841</v>
      </c>
      <c r="CA159" s="153">
        <f t="shared" si="251"/>
        <v>0.10765403890356029</v>
      </c>
      <c r="CB159" s="5">
        <f t="shared" si="252"/>
        <v>0.98</v>
      </c>
      <c r="CC159" s="153">
        <f t="shared" si="253"/>
        <v>0.90102180008260357</v>
      </c>
      <c r="CD159" s="5">
        <f t="shared" si="254"/>
        <v>90.102180008260362</v>
      </c>
      <c r="CG159" s="59">
        <f t="shared" si="300"/>
        <v>-50</v>
      </c>
      <c r="CH159">
        <f t="shared" si="301"/>
        <v>-50</v>
      </c>
    </row>
    <row r="160" spans="5:86" x14ac:dyDescent="0.25">
      <c r="E160" s="150">
        <v>50</v>
      </c>
      <c r="F160" s="191">
        <f t="shared" si="302"/>
        <v>0.05</v>
      </c>
      <c r="G160" s="191"/>
      <c r="H160" s="191">
        <f t="shared" si="266"/>
        <v>1</v>
      </c>
      <c r="I160" s="472">
        <f t="shared" si="267"/>
        <v>9</v>
      </c>
      <c r="J160" s="386">
        <f t="shared" si="268"/>
        <v>20.32</v>
      </c>
      <c r="K160" s="386">
        <f t="shared" si="269"/>
        <v>29.32</v>
      </c>
      <c r="L160" s="386"/>
      <c r="M160" s="191">
        <f t="shared" si="270"/>
        <v>0.69304229195088674</v>
      </c>
      <c r="N160" s="152">
        <f t="shared" si="271"/>
        <v>2.1101682401091408</v>
      </c>
      <c r="O160" s="152">
        <f t="shared" si="262"/>
        <v>1</v>
      </c>
      <c r="P160" s="191">
        <f t="shared" si="272"/>
        <v>0.10550841200545705</v>
      </c>
      <c r="Q160" s="191">
        <f t="shared" si="273"/>
        <v>20</v>
      </c>
      <c r="R160" s="191"/>
      <c r="S160" s="152">
        <f t="shared" si="274"/>
        <v>51.805251531941948</v>
      </c>
      <c r="T160" s="152">
        <f t="shared" si="275"/>
        <v>20</v>
      </c>
      <c r="U160" s="191">
        <f t="shared" si="276"/>
        <v>0.3562749100806844</v>
      </c>
      <c r="V160" s="191">
        <f t="shared" si="277"/>
        <v>5.937915168011406</v>
      </c>
      <c r="W160" s="191">
        <f t="shared" si="278"/>
        <v>2.6299821118160756</v>
      </c>
      <c r="X160" s="175">
        <f t="shared" si="279"/>
        <v>277.21691678035478</v>
      </c>
      <c r="Y160" s="386">
        <f t="shared" si="215"/>
        <v>116.71475127910678</v>
      </c>
      <c r="AA160" s="191">
        <f t="shared" si="280"/>
        <v>0.14999999999999997</v>
      </c>
      <c r="AB160" s="153">
        <f t="shared" si="281"/>
        <v>1.1072834645669287</v>
      </c>
      <c r="AC160" s="153">
        <f t="shared" si="282"/>
        <v>2.3021828103683487E-2</v>
      </c>
      <c r="AD160" s="153"/>
      <c r="AE160" s="153">
        <f t="shared" si="283"/>
        <v>1.1072834645669289</v>
      </c>
      <c r="AF160" s="317">
        <f t="shared" si="284"/>
        <v>602.07407407407413</v>
      </c>
      <c r="AG160" s="463">
        <f t="shared" si="285"/>
        <v>2.3021828103683497E-2</v>
      </c>
      <c r="AI160" s="153">
        <f t="shared" si="286"/>
        <v>0.19673525841791023</v>
      </c>
      <c r="AJ160" s="153">
        <f t="shared" si="287"/>
        <v>0.3562749100806844</v>
      </c>
      <c r="AK160" s="153">
        <f t="shared" si="288"/>
        <v>1.3375166067204562</v>
      </c>
      <c r="AM160" s="317">
        <f t="shared" si="289"/>
        <v>50</v>
      </c>
      <c r="AN160" s="147">
        <f t="shared" si="290"/>
        <v>116.71475127910678</v>
      </c>
      <c r="AP160">
        <f t="shared" si="291"/>
        <v>50</v>
      </c>
      <c r="AQ160">
        <f t="shared" si="292"/>
        <v>116.71475127910678</v>
      </c>
      <c r="AS160" s="5">
        <f t="shared" si="263"/>
        <v>8.5678972798274824</v>
      </c>
      <c r="AT160" s="5">
        <f t="shared" si="293"/>
        <v>5.937915168011406</v>
      </c>
      <c r="AU160" s="5">
        <f t="shared" si="230"/>
        <v>2.6299821118160764</v>
      </c>
      <c r="AV160" s="5"/>
      <c r="AW160" s="153">
        <f t="shared" si="231"/>
        <v>0.69304229195088674</v>
      </c>
      <c r="AX160" s="153">
        <f t="shared" si="259"/>
        <v>1.1111111111111114</v>
      </c>
      <c r="AY160" s="153">
        <f t="shared" si="260"/>
        <v>5.4680664916885405E-2</v>
      </c>
      <c r="AZ160" s="153">
        <f t="shared" si="264"/>
        <v>20.32</v>
      </c>
      <c r="BA160" s="147">
        <f t="shared" si="294"/>
        <v>7.5578700647486725</v>
      </c>
      <c r="BB160" s="147">
        <f t="shared" si="295"/>
        <v>14.41000925925926</v>
      </c>
      <c r="BC160" s="5">
        <f t="shared" si="258"/>
        <v>0.32468914960692302</v>
      </c>
      <c r="BD160" s="147">
        <f t="shared" si="296"/>
        <v>32.839285331062676</v>
      </c>
      <c r="BF160" s="153">
        <f t="shared" si="265"/>
        <v>0.17123970879069783</v>
      </c>
      <c r="BG160" s="153">
        <f t="shared" si="261"/>
        <v>0.1139630026994591</v>
      </c>
      <c r="BI160" s="463">
        <f t="shared" si="236"/>
        <v>1.0263063253353048E-2</v>
      </c>
      <c r="BJ160" s="463">
        <f t="shared" si="237"/>
        <v>6.0960000000000016E-3</v>
      </c>
      <c r="BK160" s="463">
        <f t="shared" si="238"/>
        <v>1.4589343909888347E-3</v>
      </c>
      <c r="BL160" s="463">
        <f t="shared" si="239"/>
        <v>5.016764160000001E-3</v>
      </c>
      <c r="BM160">
        <f t="shared" si="240"/>
        <v>2.6099999999999999E-3</v>
      </c>
      <c r="BN160">
        <f t="shared" si="297"/>
        <v>1.1671475127910678E-6</v>
      </c>
      <c r="BO160" s="463">
        <f t="shared" si="298"/>
        <v>2.6882345157070879E-2</v>
      </c>
      <c r="BP160" s="147">
        <f t="shared" si="243"/>
        <v>25.444761804341887</v>
      </c>
      <c r="BQ160" s="463">
        <f t="shared" si="299"/>
        <v>2.9022500411987576E-2</v>
      </c>
      <c r="BT160" s="147">
        <f t="shared" si="245"/>
        <v>29.022500411987576</v>
      </c>
      <c r="BU160" s="463">
        <f t="shared" si="246"/>
        <v>2.3458430293378397E-2</v>
      </c>
      <c r="BV160" s="463">
        <f t="shared" si="247"/>
        <v>1.0338102523484429E-2</v>
      </c>
      <c r="BW160" s="463">
        <f t="shared" si="248"/>
        <v>0</v>
      </c>
      <c r="BX160" s="463"/>
      <c r="BY160" s="463">
        <f t="shared" si="249"/>
        <v>2.222222222222223E-2</v>
      </c>
      <c r="BZ160" s="147">
        <f t="shared" si="250"/>
        <v>56.018755039085057</v>
      </c>
      <c r="CA160" s="153">
        <f t="shared" si="251"/>
        <v>0.11048601725541451</v>
      </c>
      <c r="CB160" s="5">
        <f t="shared" si="252"/>
        <v>1</v>
      </c>
      <c r="CC160" s="153">
        <f t="shared" si="253"/>
        <v>0.90050661103461471</v>
      </c>
      <c r="CD160" s="5">
        <f t="shared" si="254"/>
        <v>90.050661103461465</v>
      </c>
      <c r="CG160" s="59">
        <f t="shared" si="300"/>
        <v>-50</v>
      </c>
      <c r="CH160">
        <f t="shared" si="301"/>
        <v>-50</v>
      </c>
    </row>
    <row r="161" spans="5:86" x14ac:dyDescent="0.25">
      <c r="E161" s="150">
        <v>51</v>
      </c>
      <c r="F161" s="191">
        <f t="shared" si="302"/>
        <v>5.1000000000000004E-2</v>
      </c>
      <c r="G161" s="191"/>
      <c r="H161" s="191">
        <f t="shared" si="266"/>
        <v>1.02</v>
      </c>
      <c r="I161" s="472">
        <f t="shared" si="267"/>
        <v>9</v>
      </c>
      <c r="J161" s="386">
        <f t="shared" si="268"/>
        <v>20.32</v>
      </c>
      <c r="K161" s="386">
        <f t="shared" si="269"/>
        <v>29.32</v>
      </c>
      <c r="L161" s="386"/>
      <c r="M161" s="191">
        <f t="shared" si="270"/>
        <v>0.69304229195088674</v>
      </c>
      <c r="N161" s="152">
        <f t="shared" si="271"/>
        <v>2.1101682401091408</v>
      </c>
      <c r="O161" s="152">
        <f t="shared" si="262"/>
        <v>1.02</v>
      </c>
      <c r="P161" s="191">
        <f t="shared" si="272"/>
        <v>0.10550841200545705</v>
      </c>
      <c r="Q161" s="191">
        <f t="shared" si="273"/>
        <v>20</v>
      </c>
      <c r="R161" s="191"/>
      <c r="S161" s="152">
        <f t="shared" si="274"/>
        <v>50.615365775769206</v>
      </c>
      <c r="T161" s="152">
        <f t="shared" si="275"/>
        <v>20</v>
      </c>
      <c r="U161" s="191">
        <f t="shared" si="276"/>
        <v>0.36340040828229808</v>
      </c>
      <c r="V161" s="191">
        <f t="shared" si="277"/>
        <v>6.056673471371635</v>
      </c>
      <c r="W161" s="191">
        <f t="shared" si="278"/>
        <v>2.6825817540523973</v>
      </c>
      <c r="X161" s="175">
        <f t="shared" si="279"/>
        <v>277.21691678035478</v>
      </c>
      <c r="Y161" s="386">
        <f t="shared" si="215"/>
        <v>114.42622674422233</v>
      </c>
      <c r="AA161" s="191">
        <f t="shared" si="280"/>
        <v>0.14999999999999997</v>
      </c>
      <c r="AB161" s="153">
        <f t="shared" si="281"/>
        <v>1.1072834645669287</v>
      </c>
      <c r="AC161" s="153">
        <f t="shared" si="282"/>
        <v>2.3021828103683487E-2</v>
      </c>
      <c r="AD161" s="153"/>
      <c r="AE161" s="153">
        <f t="shared" si="283"/>
        <v>1.1072834645669289</v>
      </c>
      <c r="AF161" s="317">
        <f t="shared" si="284"/>
        <v>614.1155555555556</v>
      </c>
      <c r="AG161" s="463">
        <f t="shared" si="285"/>
        <v>2.3021828103683497E-2</v>
      </c>
      <c r="AI161" s="153">
        <f t="shared" si="286"/>
        <v>0.19869287139416236</v>
      </c>
      <c r="AJ161" s="153">
        <f t="shared" si="287"/>
        <v>0.36340040828229808</v>
      </c>
      <c r="AK161" s="153">
        <f t="shared" si="288"/>
        <v>1.3422669388548654</v>
      </c>
      <c r="AM161" s="317">
        <f t="shared" si="289"/>
        <v>51.000000000000007</v>
      </c>
      <c r="AN161" s="147">
        <f t="shared" si="290"/>
        <v>114.42622674422233</v>
      </c>
      <c r="AP161">
        <f t="shared" si="291"/>
        <v>51.000000000000007</v>
      </c>
      <c r="AQ161">
        <f t="shared" si="292"/>
        <v>114.42622674422233</v>
      </c>
      <c r="AS161" s="5">
        <f t="shared" si="263"/>
        <v>8.7392552254240314</v>
      </c>
      <c r="AT161" s="5">
        <f t="shared" si="293"/>
        <v>6.056673471371635</v>
      </c>
      <c r="AU161" s="5">
        <f t="shared" si="230"/>
        <v>2.6825817540523964</v>
      </c>
      <c r="AV161" s="5"/>
      <c r="AW161" s="153">
        <f t="shared" si="231"/>
        <v>0.69304229195088685</v>
      </c>
      <c r="AX161" s="153">
        <f t="shared" si="259"/>
        <v>1.1333333333333333</v>
      </c>
      <c r="AY161" s="153">
        <f t="shared" si="260"/>
        <v>5.5774278215223086E-2</v>
      </c>
      <c r="AZ161" s="153">
        <f t="shared" si="264"/>
        <v>20.320000000000004</v>
      </c>
      <c r="BA161" s="147">
        <f t="shared" si="294"/>
        <v>7.5578700647486725</v>
      </c>
      <c r="BB161" s="147">
        <f t="shared" si="295"/>
        <v>14.989113633333334</v>
      </c>
      <c r="BC161" s="5">
        <f t="shared" si="258"/>
        <v>0.33780659125104245</v>
      </c>
      <c r="BD161" s="147">
        <f t="shared" si="296"/>
        <v>34.15843690288203</v>
      </c>
      <c r="BF161" s="153">
        <f t="shared" si="265"/>
        <v>0.17466450296651181</v>
      </c>
      <c r="BG161" s="153">
        <f t="shared" si="261"/>
        <v>0.11624226275344826</v>
      </c>
      <c r="BI161" s="463">
        <f t="shared" si="236"/>
        <v>1.0677691008788515E-2</v>
      </c>
      <c r="BJ161" s="463">
        <f t="shared" si="237"/>
        <v>6.0959999999999999E-3</v>
      </c>
      <c r="BK161" s="463">
        <f t="shared" si="238"/>
        <v>1.4303278343027791E-3</v>
      </c>
      <c r="BL161" s="463">
        <f t="shared" si="239"/>
        <v>4.9183962352941186E-3</v>
      </c>
      <c r="BM161">
        <f t="shared" si="240"/>
        <v>2.6099999999999999E-3</v>
      </c>
      <c r="BN161">
        <f t="shared" si="297"/>
        <v>1.1442622674422234E-6</v>
      </c>
      <c r="BO161" s="463">
        <f t="shared" si="298"/>
        <v>2.7228689069840568E-2</v>
      </c>
      <c r="BP161" s="147">
        <f t="shared" si="243"/>
        <v>25.732415078385415</v>
      </c>
      <c r="BQ161" s="463">
        <f t="shared" si="299"/>
        <v>2.9805369428631864E-2</v>
      </c>
      <c r="BT161" s="147">
        <f t="shared" si="245"/>
        <v>29.805369428631863</v>
      </c>
      <c r="BU161" s="463">
        <f t="shared" si="246"/>
        <v>2.4406150877230894E-2</v>
      </c>
      <c r="BV161" s="463">
        <f t="shared" si="247"/>
        <v>1.0755761865433198E-2</v>
      </c>
      <c r="BW161" s="463">
        <f t="shared" si="248"/>
        <v>0</v>
      </c>
      <c r="BX161" s="463"/>
      <c r="BY161" s="463">
        <f t="shared" si="249"/>
        <v>2.2666666666666675E-2</v>
      </c>
      <c r="BZ161" s="147">
        <f t="shared" si="250"/>
        <v>57.828579409330771</v>
      </c>
      <c r="CA161" s="153">
        <f t="shared" si="251"/>
        <v>0.11336636391634805</v>
      </c>
      <c r="CB161" s="5">
        <f t="shared" si="252"/>
        <v>1.02</v>
      </c>
      <c r="CC161" s="153">
        <f t="shared" si="253"/>
        <v>0.8999737705955817</v>
      </c>
      <c r="CD161" s="5">
        <f t="shared" si="254"/>
        <v>89.997377059558175</v>
      </c>
      <c r="CG161" s="59">
        <f t="shared" si="300"/>
        <v>-50</v>
      </c>
      <c r="CH161">
        <f t="shared" si="301"/>
        <v>-50</v>
      </c>
    </row>
    <row r="162" spans="5:86" x14ac:dyDescent="0.25">
      <c r="E162" s="150">
        <v>52</v>
      </c>
      <c r="F162" s="191">
        <f t="shared" si="302"/>
        <v>5.2000000000000005E-2</v>
      </c>
      <c r="G162" s="191"/>
      <c r="H162" s="191">
        <f t="shared" si="266"/>
        <v>1.04</v>
      </c>
      <c r="I162" s="472">
        <f t="shared" si="267"/>
        <v>9</v>
      </c>
      <c r="J162" s="386">
        <f t="shared" si="268"/>
        <v>20.32</v>
      </c>
      <c r="K162" s="386">
        <f t="shared" si="269"/>
        <v>29.32</v>
      </c>
      <c r="L162" s="386"/>
      <c r="M162" s="191">
        <f t="shared" si="270"/>
        <v>0.69304229195088674</v>
      </c>
      <c r="N162" s="152">
        <f t="shared" si="271"/>
        <v>2.1101682401091408</v>
      </c>
      <c r="O162" s="152">
        <f t="shared" si="262"/>
        <v>1.04</v>
      </c>
      <c r="P162" s="191">
        <f t="shared" si="272"/>
        <v>0.10550841200545705</v>
      </c>
      <c r="Q162" s="191">
        <f t="shared" si="273"/>
        <v>20</v>
      </c>
      <c r="R162" s="191"/>
      <c r="S162" s="152">
        <f t="shared" si="274"/>
        <v>49.47130296514635</v>
      </c>
      <c r="T162" s="152">
        <f t="shared" si="275"/>
        <v>20</v>
      </c>
      <c r="U162" s="191">
        <f t="shared" si="276"/>
        <v>0.37052590648391176</v>
      </c>
      <c r="V162" s="191">
        <f t="shared" si="277"/>
        <v>6.1754317747318623</v>
      </c>
      <c r="W162" s="191">
        <f t="shared" si="278"/>
        <v>2.7351813962887181</v>
      </c>
      <c r="X162" s="175">
        <f t="shared" si="279"/>
        <v>277.21691678035478</v>
      </c>
      <c r="Y162" s="386">
        <f t="shared" si="215"/>
        <v>112.22572238375652</v>
      </c>
      <c r="AA162" s="191">
        <f t="shared" si="280"/>
        <v>0.14999999999999997</v>
      </c>
      <c r="AB162" s="153">
        <f t="shared" si="281"/>
        <v>1.1072834645669287</v>
      </c>
      <c r="AC162" s="153">
        <f t="shared" si="282"/>
        <v>2.3021828103683487E-2</v>
      </c>
      <c r="AD162" s="153"/>
      <c r="AE162" s="153">
        <f t="shared" si="283"/>
        <v>1.1072834645669289</v>
      </c>
      <c r="AF162" s="317">
        <f t="shared" si="284"/>
        <v>626.15703703703707</v>
      </c>
      <c r="AG162" s="463">
        <f t="shared" si="285"/>
        <v>2.3021828103683497E-2</v>
      </c>
      <c r="AI162" s="153">
        <f t="shared" si="286"/>
        <v>0.20063138433692868</v>
      </c>
      <c r="AJ162" s="153">
        <f t="shared" si="287"/>
        <v>0.37052590648391176</v>
      </c>
      <c r="AK162" s="153">
        <f t="shared" si="288"/>
        <v>1.3470172709892745</v>
      </c>
      <c r="AM162" s="317">
        <f t="shared" si="289"/>
        <v>52.000000000000007</v>
      </c>
      <c r="AN162" s="147">
        <f t="shared" si="290"/>
        <v>112.22572238375652</v>
      </c>
      <c r="AP162">
        <f t="shared" si="291"/>
        <v>52.000000000000007</v>
      </c>
      <c r="AQ162">
        <f t="shared" si="292"/>
        <v>112.22572238375652</v>
      </c>
      <c r="AS162" s="5">
        <f t="shared" si="263"/>
        <v>8.9106131710205805</v>
      </c>
      <c r="AT162" s="5">
        <f t="shared" si="293"/>
        <v>6.1754317747318623</v>
      </c>
      <c r="AU162" s="5">
        <f t="shared" si="230"/>
        <v>2.7351813962887181</v>
      </c>
      <c r="AV162" s="5"/>
      <c r="AW162" s="153">
        <f t="shared" si="231"/>
        <v>0.69304229195088685</v>
      </c>
      <c r="AX162" s="153">
        <f t="shared" si="259"/>
        <v>1.1555555555555557</v>
      </c>
      <c r="AY162" s="153">
        <f t="shared" si="260"/>
        <v>5.6867891513560795E-2</v>
      </c>
      <c r="AZ162" s="153">
        <f t="shared" si="264"/>
        <v>20.320000000000004</v>
      </c>
      <c r="BA162" s="147">
        <f t="shared" si="294"/>
        <v>7.5578700647486725</v>
      </c>
      <c r="BB162" s="147">
        <f t="shared" si="295"/>
        <v>15.579626014814817</v>
      </c>
      <c r="BC162" s="5">
        <f t="shared" si="258"/>
        <v>0.35118378421484781</v>
      </c>
      <c r="BD162" s="147">
        <f t="shared" si="296"/>
        <v>35.503563606669964</v>
      </c>
      <c r="BF162" s="153">
        <f t="shared" si="265"/>
        <v>0.17808929714232577</v>
      </c>
      <c r="BG162" s="153">
        <f t="shared" si="261"/>
        <v>0.11852152280743744</v>
      </c>
      <c r="BI162" s="463">
        <f t="shared" si="236"/>
        <v>1.110052921482666E-2</v>
      </c>
      <c r="BJ162" s="463">
        <f t="shared" si="237"/>
        <v>6.0960000000000016E-3</v>
      </c>
      <c r="BK162" s="463">
        <f t="shared" si="238"/>
        <v>1.4028215297969564E-3</v>
      </c>
      <c r="BL162" s="463">
        <f t="shared" si="239"/>
        <v>4.8238116923076928E-3</v>
      </c>
      <c r="BM162">
        <f t="shared" si="240"/>
        <v>2.6099999999999999E-3</v>
      </c>
      <c r="BN162">
        <f t="shared" si="297"/>
        <v>1.1222572238375652E-6</v>
      </c>
      <c r="BO162" s="463">
        <f t="shared" si="298"/>
        <v>2.7589360462745318E-2</v>
      </c>
      <c r="BP162" s="147">
        <f t="shared" si="243"/>
        <v>26.03316243693131</v>
      </c>
      <c r="BQ162" s="463">
        <f t="shared" si="299"/>
        <v>3.0596176445605756E-2</v>
      </c>
      <c r="BT162" s="147">
        <f t="shared" si="245"/>
        <v>30.596176445605757</v>
      </c>
      <c r="BU162" s="463">
        <f t="shared" si="246"/>
        <v>2.5372638205318085E-2</v>
      </c>
      <c r="BV162" s="463">
        <f t="shared" si="247"/>
        <v>1.1181691689400756E-2</v>
      </c>
      <c r="BW162" s="463">
        <f t="shared" si="248"/>
        <v>0</v>
      </c>
      <c r="BX162" s="463"/>
      <c r="BY162" s="463">
        <f t="shared" si="249"/>
        <v>2.3111111111111117E-2</v>
      </c>
      <c r="BZ162" s="147">
        <f t="shared" si="250"/>
        <v>59.665441005829955</v>
      </c>
      <c r="CA162" s="153">
        <f t="shared" si="251"/>
        <v>0.11629477988836701</v>
      </c>
      <c r="CB162" s="5">
        <f t="shared" si="252"/>
        <v>1.04</v>
      </c>
      <c r="CC162" s="153">
        <f t="shared" si="253"/>
        <v>0.89942462604596851</v>
      </c>
      <c r="CD162" s="5">
        <f t="shared" si="254"/>
        <v>89.942462604596855</v>
      </c>
      <c r="CG162" s="59">
        <f t="shared" si="300"/>
        <v>-50</v>
      </c>
      <c r="CH162">
        <f t="shared" si="301"/>
        <v>-50</v>
      </c>
    </row>
    <row r="163" spans="5:86" x14ac:dyDescent="0.25">
      <c r="E163" s="150">
        <v>53</v>
      </c>
      <c r="F163" s="191">
        <f t="shared" si="302"/>
        <v>5.3000000000000005E-2</v>
      </c>
      <c r="G163" s="191"/>
      <c r="H163" s="191">
        <f t="shared" si="266"/>
        <v>1.06</v>
      </c>
      <c r="I163" s="472">
        <f t="shared" si="267"/>
        <v>9</v>
      </c>
      <c r="J163" s="386">
        <f t="shared" si="268"/>
        <v>20.32</v>
      </c>
      <c r="K163" s="386">
        <f t="shared" si="269"/>
        <v>29.32</v>
      </c>
      <c r="L163" s="386"/>
      <c r="M163" s="191">
        <f t="shared" si="270"/>
        <v>0.69304229195088674</v>
      </c>
      <c r="N163" s="152">
        <f t="shared" si="271"/>
        <v>2.1101682401091408</v>
      </c>
      <c r="O163" s="152">
        <f t="shared" si="262"/>
        <v>1.06</v>
      </c>
      <c r="P163" s="191">
        <f t="shared" si="272"/>
        <v>0.10550841200545705</v>
      </c>
      <c r="Q163" s="191">
        <f t="shared" si="273"/>
        <v>20</v>
      </c>
      <c r="R163" s="191"/>
      <c r="S163" s="152">
        <f t="shared" si="274"/>
        <v>48.370469906604903</v>
      </c>
      <c r="T163" s="152">
        <f t="shared" si="275"/>
        <v>20</v>
      </c>
      <c r="U163" s="191">
        <f t="shared" si="276"/>
        <v>0.37765140468552549</v>
      </c>
      <c r="V163" s="191">
        <f t="shared" si="277"/>
        <v>6.2941900780920905</v>
      </c>
      <c r="W163" s="191">
        <f t="shared" si="278"/>
        <v>2.7877810385250399</v>
      </c>
      <c r="X163" s="175">
        <f t="shared" si="279"/>
        <v>277.21691678035478</v>
      </c>
      <c r="Y163" s="386">
        <f t="shared" si="215"/>
        <v>110.10825592368565</v>
      </c>
      <c r="AA163" s="191">
        <f t="shared" si="280"/>
        <v>0.14999999999999997</v>
      </c>
      <c r="AB163" s="153">
        <f t="shared" si="281"/>
        <v>1.1072834645669287</v>
      </c>
      <c r="AC163" s="153">
        <f t="shared" si="282"/>
        <v>2.3021828103683487E-2</v>
      </c>
      <c r="AD163" s="153"/>
      <c r="AE163" s="153">
        <f t="shared" si="283"/>
        <v>1.1072834645669289</v>
      </c>
      <c r="AF163" s="317">
        <f t="shared" si="284"/>
        <v>638.19851851851865</v>
      </c>
      <c r="AG163" s="463">
        <f t="shared" si="285"/>
        <v>2.3021828103683497E-2</v>
      </c>
      <c r="AI163" s="153">
        <f t="shared" si="286"/>
        <v>0.20255134563623028</v>
      </c>
      <c r="AJ163" s="153">
        <f t="shared" si="287"/>
        <v>0.37765140468552549</v>
      </c>
      <c r="AK163" s="153">
        <f t="shared" si="288"/>
        <v>1.3517676031236836</v>
      </c>
      <c r="AM163" s="317">
        <f t="shared" si="289"/>
        <v>53.000000000000007</v>
      </c>
      <c r="AN163" s="147">
        <f t="shared" si="290"/>
        <v>110.10825592368565</v>
      </c>
      <c r="AP163">
        <f t="shared" si="291"/>
        <v>53.000000000000007</v>
      </c>
      <c r="AQ163">
        <f t="shared" si="292"/>
        <v>110.10825592368565</v>
      </c>
      <c r="AS163" s="5">
        <f t="shared" si="263"/>
        <v>9.0819711166171295</v>
      </c>
      <c r="AT163" s="5">
        <f t="shared" si="293"/>
        <v>6.2941900780920905</v>
      </c>
      <c r="AU163" s="5">
        <f t="shared" si="230"/>
        <v>2.787781038525039</v>
      </c>
      <c r="AV163" s="5"/>
      <c r="AW163" s="153">
        <f t="shared" si="231"/>
        <v>0.69304229195088685</v>
      </c>
      <c r="AX163" s="153">
        <f t="shared" si="259"/>
        <v>1.1777777777777783</v>
      </c>
      <c r="AY163" s="153">
        <f t="shared" si="260"/>
        <v>5.7961504811898511E-2</v>
      </c>
      <c r="AZ163" s="153">
        <f t="shared" si="264"/>
        <v>20.320000000000007</v>
      </c>
      <c r="BA163" s="147">
        <f t="shared" si="294"/>
        <v>7.5578700647486725</v>
      </c>
      <c r="BB163" s="147">
        <f t="shared" si="295"/>
        <v>16.181546403703702</v>
      </c>
      <c r="BC163" s="5">
        <f t="shared" si="258"/>
        <v>0.36482072849833846</v>
      </c>
      <c r="BD163" s="147">
        <f t="shared" si="296"/>
        <v>36.874665442426434</v>
      </c>
      <c r="BF163" s="153">
        <f t="shared" si="265"/>
        <v>0.18151409131813973</v>
      </c>
      <c r="BG163" s="153">
        <f t="shared" si="261"/>
        <v>0.12080078286142663</v>
      </c>
      <c r="BI163" s="463">
        <f t="shared" si="236"/>
        <v>1.1531577871467486E-2</v>
      </c>
      <c r="BJ163" s="463">
        <f t="shared" si="237"/>
        <v>6.0960000000000016E-3</v>
      </c>
      <c r="BK163" s="463">
        <f t="shared" si="238"/>
        <v>1.3763531990460705E-3</v>
      </c>
      <c r="BL163" s="463">
        <f t="shared" si="239"/>
        <v>4.7327963773584917E-3</v>
      </c>
      <c r="BM163">
        <f t="shared" si="240"/>
        <v>2.6099999999999999E-3</v>
      </c>
      <c r="BN163">
        <f t="shared" si="297"/>
        <v>1.1010825592368565E-6</v>
      </c>
      <c r="BO163" s="463">
        <f t="shared" si="298"/>
        <v>2.7964087267290983E-2</v>
      </c>
      <c r="BP163" s="147">
        <f t="shared" si="243"/>
        <v>26.346727447872052</v>
      </c>
      <c r="BQ163" s="463">
        <f t="shared" si="299"/>
        <v>3.1394921462909238E-2</v>
      </c>
      <c r="BT163" s="147">
        <f t="shared" si="245"/>
        <v>31.394921462909238</v>
      </c>
      <c r="BU163" s="463">
        <f t="shared" si="246"/>
        <v>2.6357892277639974E-2</v>
      </c>
      <c r="BV163" s="463">
        <f t="shared" si="247"/>
        <v>1.1615891995387104E-2</v>
      </c>
      <c r="BW163" s="463">
        <f t="shared" si="248"/>
        <v>0</v>
      </c>
      <c r="BX163" s="463"/>
      <c r="BY163" s="463">
        <f t="shared" si="249"/>
        <v>2.3555555555555566E-2</v>
      </c>
      <c r="BZ163" s="147">
        <f t="shared" si="250"/>
        <v>61.529339828582643</v>
      </c>
      <c r="CA163" s="153">
        <f t="shared" si="251"/>
        <v>0.11927098873936394</v>
      </c>
      <c r="CB163" s="5">
        <f t="shared" si="252"/>
        <v>1.06</v>
      </c>
      <c r="CC163" s="153">
        <f t="shared" si="253"/>
        <v>0.89886040623549623</v>
      </c>
      <c r="CD163" s="5">
        <f t="shared" si="254"/>
        <v>89.886040623549619</v>
      </c>
      <c r="CG163" s="59">
        <f t="shared" si="300"/>
        <v>-50</v>
      </c>
      <c r="CH163">
        <f t="shared" si="301"/>
        <v>-50</v>
      </c>
    </row>
    <row r="164" spans="5:86" x14ac:dyDescent="0.25">
      <c r="E164" s="150">
        <v>54</v>
      </c>
      <c r="F164" s="191">
        <f t="shared" si="302"/>
        <v>5.4000000000000006E-2</v>
      </c>
      <c r="G164" s="191"/>
      <c r="H164" s="191">
        <f t="shared" si="266"/>
        <v>1.08</v>
      </c>
      <c r="I164" s="472">
        <f t="shared" si="267"/>
        <v>9</v>
      </c>
      <c r="J164" s="386">
        <f t="shared" si="268"/>
        <v>20.32</v>
      </c>
      <c r="K164" s="386">
        <f t="shared" si="269"/>
        <v>29.32</v>
      </c>
      <c r="L164" s="386"/>
      <c r="M164" s="191">
        <f t="shared" si="270"/>
        <v>0.69304229195088674</v>
      </c>
      <c r="N164" s="152">
        <f t="shared" si="271"/>
        <v>2.1101682401091408</v>
      </c>
      <c r="O164" s="152">
        <f t="shared" si="262"/>
        <v>1.08</v>
      </c>
      <c r="P164" s="191">
        <f t="shared" si="272"/>
        <v>0.10550841200545705</v>
      </c>
      <c r="Q164" s="191">
        <f t="shared" si="273"/>
        <v>20</v>
      </c>
      <c r="R164" s="191"/>
      <c r="S164" s="152">
        <f t="shared" si="274"/>
        <v>47.310465501851709</v>
      </c>
      <c r="T164" s="152">
        <f t="shared" si="275"/>
        <v>20</v>
      </c>
      <c r="U164" s="191">
        <f t="shared" si="276"/>
        <v>0.38477690288713917</v>
      </c>
      <c r="V164" s="191">
        <f t="shared" si="277"/>
        <v>6.4129483814523178</v>
      </c>
      <c r="W164" s="191">
        <f t="shared" si="278"/>
        <v>2.8403806807613616</v>
      </c>
      <c r="X164" s="175">
        <f t="shared" si="279"/>
        <v>277.21691678035478</v>
      </c>
      <c r="Y164" s="386">
        <f t="shared" si="215"/>
        <v>108.06921414732108</v>
      </c>
      <c r="AA164" s="191">
        <f t="shared" si="280"/>
        <v>0.14999999999999997</v>
      </c>
      <c r="AB164" s="153">
        <f t="shared" si="281"/>
        <v>1.1072834645669287</v>
      </c>
      <c r="AC164" s="153">
        <f t="shared" si="282"/>
        <v>2.3021828103683487E-2</v>
      </c>
      <c r="AD164" s="153"/>
      <c r="AE164" s="153">
        <f t="shared" si="283"/>
        <v>1.1072834645669289</v>
      </c>
      <c r="AF164" s="317">
        <f t="shared" si="284"/>
        <v>650.24000000000012</v>
      </c>
      <c r="AG164" s="463">
        <f t="shared" si="285"/>
        <v>2.3021828103683497E-2</v>
      </c>
      <c r="AI164" s="153">
        <f t="shared" si="286"/>
        <v>0.2044532779320079</v>
      </c>
      <c r="AJ164" s="153">
        <f t="shared" si="287"/>
        <v>0.38477690288713917</v>
      </c>
      <c r="AK164" s="153">
        <f t="shared" si="288"/>
        <v>1.3565179352580927</v>
      </c>
      <c r="AM164" s="317">
        <f t="shared" si="289"/>
        <v>54.000000000000007</v>
      </c>
      <c r="AN164" s="147">
        <f t="shared" si="290"/>
        <v>108.06921414732108</v>
      </c>
      <c r="AP164">
        <f t="shared" si="291"/>
        <v>54.000000000000007</v>
      </c>
      <c r="AQ164">
        <f t="shared" si="292"/>
        <v>108.06921414732108</v>
      </c>
      <c r="AS164" s="5">
        <f t="shared" si="263"/>
        <v>9.2533290622136821</v>
      </c>
      <c r="AT164" s="5">
        <f t="shared" si="293"/>
        <v>6.4129483814523178</v>
      </c>
      <c r="AU164" s="5">
        <f t="shared" si="230"/>
        <v>2.8403806807613643</v>
      </c>
      <c r="AV164" s="5"/>
      <c r="AW164" s="153">
        <f t="shared" si="231"/>
        <v>0.69304229195088651</v>
      </c>
      <c r="AX164" s="153">
        <f t="shared" si="259"/>
        <v>1.2000000000000002</v>
      </c>
      <c r="AY164" s="153">
        <f t="shared" si="260"/>
        <v>5.9055118110236282E-2</v>
      </c>
      <c r="AZ164" s="153">
        <f t="shared" si="264"/>
        <v>20.319999999999983</v>
      </c>
      <c r="BA164" s="147">
        <f t="shared" si="294"/>
        <v>7.5578700647486725</v>
      </c>
      <c r="BB164" s="147">
        <f t="shared" si="295"/>
        <v>16.794874799999995</v>
      </c>
      <c r="BC164" s="5">
        <f t="shared" si="258"/>
        <v>0.37871742410151521</v>
      </c>
      <c r="BD164" s="147">
        <f t="shared" si="296"/>
        <v>38.271742410151518</v>
      </c>
      <c r="BF164" s="153">
        <f t="shared" si="265"/>
        <v>0.18493888549395365</v>
      </c>
      <c r="BG164" s="153">
        <f t="shared" si="261"/>
        <v>0.12308004291541588</v>
      </c>
      <c r="BI164" s="463">
        <f t="shared" si="236"/>
        <v>1.1970836978710995E-2</v>
      </c>
      <c r="BJ164" s="463">
        <f t="shared" si="237"/>
        <v>6.0959999999999999E-3</v>
      </c>
      <c r="BK164" s="463">
        <f t="shared" si="238"/>
        <v>1.3508651768415134E-3</v>
      </c>
      <c r="BL164" s="463">
        <f t="shared" si="239"/>
        <v>4.6451520000000005E-3</v>
      </c>
      <c r="BM164">
        <f t="shared" si="240"/>
        <v>2.6099999999999999E-3</v>
      </c>
      <c r="BN164">
        <f t="shared" si="297"/>
        <v>1.0806921414732107E-6</v>
      </c>
      <c r="BO164" s="463">
        <f t="shared" si="298"/>
        <v>2.8352617982577055E-2</v>
      </c>
      <c r="BP164" s="147">
        <f t="shared" si="243"/>
        <v>26.672854155552507</v>
      </c>
      <c r="BQ164" s="463">
        <f t="shared" si="299"/>
        <v>3.2201604480542316E-2</v>
      </c>
      <c r="BT164" s="147">
        <f t="shared" si="245"/>
        <v>32.201604480542315</v>
      </c>
      <c r="BU164" s="463">
        <f t="shared" si="246"/>
        <v>2.7361913094196562E-2</v>
      </c>
      <c r="BV164" s="463">
        <f t="shared" si="247"/>
        <v>1.205836278339225E-2</v>
      </c>
      <c r="BW164" s="463">
        <f t="shared" si="248"/>
        <v>0</v>
      </c>
      <c r="BX164" s="463"/>
      <c r="BY164" s="463">
        <f t="shared" si="249"/>
        <v>2.4000000000000007E-2</v>
      </c>
      <c r="BZ164" s="147">
        <f t="shared" si="250"/>
        <v>63.420275877588821</v>
      </c>
      <c r="CA164" s="153">
        <f t="shared" si="251"/>
        <v>0.12229473451368365</v>
      </c>
      <c r="CB164" s="5">
        <f t="shared" si="252"/>
        <v>1.08</v>
      </c>
      <c r="CC164" s="153">
        <f t="shared" si="253"/>
        <v>0.89828223396224838</v>
      </c>
      <c r="CD164" s="5">
        <f t="shared" si="254"/>
        <v>89.828223396224843</v>
      </c>
      <c r="CG164" s="59">
        <f t="shared" si="300"/>
        <v>-50</v>
      </c>
      <c r="CH164">
        <f t="shared" si="301"/>
        <v>-50</v>
      </c>
    </row>
    <row r="165" spans="5:86" x14ac:dyDescent="0.25">
      <c r="E165" s="150">
        <v>55</v>
      </c>
      <c r="F165" s="191">
        <f t="shared" si="302"/>
        <v>5.5000000000000007E-2</v>
      </c>
      <c r="G165" s="191"/>
      <c r="H165" s="191">
        <f t="shared" si="266"/>
        <v>1.1000000000000001</v>
      </c>
      <c r="I165" s="472">
        <f t="shared" si="267"/>
        <v>9</v>
      </c>
      <c r="J165" s="386">
        <f t="shared" si="268"/>
        <v>20.32</v>
      </c>
      <c r="K165" s="386">
        <f t="shared" si="269"/>
        <v>29.32</v>
      </c>
      <c r="L165" s="386"/>
      <c r="M165" s="191">
        <f t="shared" si="270"/>
        <v>0.69304229195088674</v>
      </c>
      <c r="N165" s="152">
        <f t="shared" si="271"/>
        <v>2.1101682401091408</v>
      </c>
      <c r="O165" s="152">
        <f t="shared" si="262"/>
        <v>1.1000000000000001</v>
      </c>
      <c r="P165" s="191">
        <f t="shared" si="272"/>
        <v>0.10550841200545705</v>
      </c>
      <c r="Q165" s="191">
        <f t="shared" si="273"/>
        <v>20</v>
      </c>
      <c r="R165" s="191"/>
      <c r="S165" s="152">
        <f t="shared" si="274"/>
        <v>46.289063284667328</v>
      </c>
      <c r="T165" s="152">
        <f t="shared" si="275"/>
        <v>20</v>
      </c>
      <c r="U165" s="191">
        <f t="shared" si="276"/>
        <v>0.39190240108875285</v>
      </c>
      <c r="V165" s="191">
        <f t="shared" si="277"/>
        <v>6.5317066848125478</v>
      </c>
      <c r="W165" s="191">
        <f t="shared" si="278"/>
        <v>2.8929803229976834</v>
      </c>
      <c r="X165" s="175">
        <f t="shared" si="279"/>
        <v>277.21691678035478</v>
      </c>
      <c r="Y165" s="386">
        <f t="shared" si="215"/>
        <v>106.10431934464251</v>
      </c>
      <c r="AA165" s="191">
        <f t="shared" si="280"/>
        <v>0.14999999999999997</v>
      </c>
      <c r="AB165" s="153">
        <f t="shared" si="281"/>
        <v>1.1072834645669287</v>
      </c>
      <c r="AC165" s="153">
        <f t="shared" si="282"/>
        <v>2.3021828103683487E-2</v>
      </c>
      <c r="AD165" s="153"/>
      <c r="AE165" s="153">
        <f t="shared" si="283"/>
        <v>1.1072834645669289</v>
      </c>
      <c r="AF165" s="317">
        <f t="shared" si="284"/>
        <v>662.28148148148159</v>
      </c>
      <c r="AG165" s="463">
        <f t="shared" si="285"/>
        <v>2.3021828103683497E-2</v>
      </c>
      <c r="AI165" s="153">
        <f t="shared" si="286"/>
        <v>0.20633767977574552</v>
      </c>
      <c r="AJ165" s="153">
        <f t="shared" si="287"/>
        <v>0.39190240108875285</v>
      </c>
      <c r="AK165" s="153">
        <f t="shared" si="288"/>
        <v>1.3612682673925018</v>
      </c>
      <c r="AM165" s="317">
        <f t="shared" si="289"/>
        <v>55.000000000000007</v>
      </c>
      <c r="AN165" s="147">
        <f t="shared" si="290"/>
        <v>106.10431934464251</v>
      </c>
      <c r="AP165">
        <f t="shared" si="291"/>
        <v>55.000000000000007</v>
      </c>
      <c r="AQ165">
        <f t="shared" si="292"/>
        <v>106.10431934464251</v>
      </c>
      <c r="AS165" s="5">
        <f t="shared" si="263"/>
        <v>9.4246870078102312</v>
      </c>
      <c r="AT165" s="5">
        <f t="shared" si="293"/>
        <v>6.5317066848125478</v>
      </c>
      <c r="AU165" s="5">
        <f t="shared" si="230"/>
        <v>2.8929803229976834</v>
      </c>
      <c r="AV165" s="5"/>
      <c r="AW165" s="153">
        <f t="shared" si="231"/>
        <v>0.69304229195088674</v>
      </c>
      <c r="AX165" s="153">
        <f t="shared" si="259"/>
        <v>1.2222222222222223</v>
      </c>
      <c r="AY165" s="153">
        <f t="shared" si="260"/>
        <v>6.0148731408573942E-2</v>
      </c>
      <c r="AZ165" s="153">
        <f t="shared" si="264"/>
        <v>20.319999999999997</v>
      </c>
      <c r="BA165" s="147">
        <f t="shared" si="294"/>
        <v>7.5578700647486725</v>
      </c>
      <c r="BB165" s="147">
        <f t="shared" si="295"/>
        <v>17.419611203703703</v>
      </c>
      <c r="BC165" s="5">
        <f t="shared" si="258"/>
        <v>0.39287387102437682</v>
      </c>
      <c r="BD165" s="147">
        <f t="shared" si="296"/>
        <v>39.694794509845089</v>
      </c>
      <c r="BF165" s="153">
        <f t="shared" si="265"/>
        <v>0.18836367966976761</v>
      </c>
      <c r="BG165" s="153">
        <f t="shared" si="261"/>
        <v>0.12535930296940501</v>
      </c>
      <c r="BI165" s="463">
        <f t="shared" si="236"/>
        <v>1.2418306536557188E-2</v>
      </c>
      <c r="BJ165" s="463">
        <f t="shared" si="237"/>
        <v>6.0959999999999999E-3</v>
      </c>
      <c r="BK165" s="463">
        <f t="shared" si="238"/>
        <v>1.3263039918080311E-3</v>
      </c>
      <c r="BL165" s="463">
        <f t="shared" si="239"/>
        <v>4.5606946909090909E-3</v>
      </c>
      <c r="BM165">
        <f t="shared" si="240"/>
        <v>2.6099999999999999E-3</v>
      </c>
      <c r="BN165">
        <f t="shared" si="297"/>
        <v>1.0610431934464251E-6</v>
      </c>
      <c r="BO165" s="463">
        <f t="shared" si="298"/>
        <v>2.8754719813568749E-2</v>
      </c>
      <c r="BP165" s="147">
        <f t="shared" si="243"/>
        <v>27.011305219274313</v>
      </c>
      <c r="BQ165" s="463">
        <f t="shared" si="299"/>
        <v>3.3016225498504963E-2</v>
      </c>
      <c r="BT165" s="147">
        <f t="shared" si="245"/>
        <v>33.016225498504966</v>
      </c>
      <c r="BU165" s="463">
        <f t="shared" si="246"/>
        <v>2.8384700654987861E-2</v>
      </c>
      <c r="BV165" s="463">
        <f t="shared" si="247"/>
        <v>1.2509104053416159E-2</v>
      </c>
      <c r="BW165" s="463">
        <f t="shared" si="248"/>
        <v>0</v>
      </c>
      <c r="BX165" s="463"/>
      <c r="BY165" s="463">
        <f t="shared" si="249"/>
        <v>2.4444444444444449E-2</v>
      </c>
      <c r="BZ165" s="147">
        <f t="shared" si="250"/>
        <v>65.338249152848476</v>
      </c>
      <c r="CA165" s="153">
        <f t="shared" si="251"/>
        <v>0.12536577987062775</v>
      </c>
      <c r="CB165" s="5">
        <f t="shared" si="252"/>
        <v>1.1000000000000001</v>
      </c>
      <c r="CC165" s="153">
        <f t="shared" si="253"/>
        <v>0.89769113685885393</v>
      </c>
      <c r="CD165" s="5">
        <f t="shared" si="254"/>
        <v>89.769113685885387</v>
      </c>
      <c r="CG165" s="59">
        <f t="shared" si="300"/>
        <v>-50</v>
      </c>
      <c r="CH165">
        <f t="shared" si="301"/>
        <v>-50</v>
      </c>
    </row>
    <row r="166" spans="5:86" x14ac:dyDescent="0.25">
      <c r="E166" s="150">
        <v>56</v>
      </c>
      <c r="F166" s="191">
        <f t="shared" si="302"/>
        <v>5.6000000000000008E-2</v>
      </c>
      <c r="G166" s="191"/>
      <c r="H166" s="191">
        <f t="shared" si="266"/>
        <v>1.1200000000000001</v>
      </c>
      <c r="I166" s="472">
        <f t="shared" si="267"/>
        <v>9</v>
      </c>
      <c r="J166" s="386">
        <f t="shared" si="268"/>
        <v>20.32</v>
      </c>
      <c r="K166" s="386">
        <f t="shared" si="269"/>
        <v>29.32</v>
      </c>
      <c r="L166" s="386"/>
      <c r="M166" s="191">
        <f t="shared" si="270"/>
        <v>0.69304229195088674</v>
      </c>
      <c r="N166" s="152">
        <f t="shared" si="271"/>
        <v>2.1101682401091408</v>
      </c>
      <c r="O166" s="152">
        <f t="shared" si="262"/>
        <v>1.1200000000000001</v>
      </c>
      <c r="P166" s="191">
        <f t="shared" si="272"/>
        <v>0.10550841200545705</v>
      </c>
      <c r="Q166" s="191">
        <f t="shared" si="273"/>
        <v>20</v>
      </c>
      <c r="R166" s="191"/>
      <c r="S166" s="152">
        <f t="shared" si="274"/>
        <v>45.304195828852443</v>
      </c>
      <c r="T166" s="152">
        <f t="shared" si="275"/>
        <v>20</v>
      </c>
      <c r="U166" s="191">
        <f t="shared" si="276"/>
        <v>0.39902789929036653</v>
      </c>
      <c r="V166" s="191">
        <f t="shared" si="277"/>
        <v>6.6504649881727751</v>
      </c>
      <c r="W166" s="191">
        <f t="shared" si="278"/>
        <v>2.9455799652340047</v>
      </c>
      <c r="X166" s="175">
        <f t="shared" si="279"/>
        <v>277.21691678035478</v>
      </c>
      <c r="Y166" s="386">
        <f t="shared" si="215"/>
        <v>104.20959935634532</v>
      </c>
      <c r="AA166" s="191">
        <f t="shared" si="280"/>
        <v>0.14999999999999997</v>
      </c>
      <c r="AB166" s="153">
        <f t="shared" si="281"/>
        <v>1.1072834645669287</v>
      </c>
      <c r="AC166" s="153">
        <f t="shared" si="282"/>
        <v>2.3021828103683487E-2</v>
      </c>
      <c r="AD166" s="153"/>
      <c r="AE166" s="153">
        <f t="shared" si="283"/>
        <v>1.1072834645669289</v>
      </c>
      <c r="AF166" s="317">
        <f t="shared" si="284"/>
        <v>674.32296296296317</v>
      </c>
      <c r="AG166" s="463">
        <f t="shared" si="285"/>
        <v>2.3021828103683497E-2</v>
      </c>
      <c r="AI166" s="153">
        <f t="shared" si="286"/>
        <v>0.20820502715672679</v>
      </c>
      <c r="AJ166" s="153">
        <f t="shared" si="287"/>
        <v>0.39902789929036653</v>
      </c>
      <c r="AK166" s="153">
        <f t="shared" si="288"/>
        <v>1.366018599526911</v>
      </c>
      <c r="AM166" s="317">
        <f t="shared" si="289"/>
        <v>56.000000000000007</v>
      </c>
      <c r="AN166" s="147">
        <f t="shared" si="290"/>
        <v>104.20959935634532</v>
      </c>
      <c r="AP166">
        <f t="shared" si="291"/>
        <v>56.000000000000007</v>
      </c>
      <c r="AQ166">
        <f t="shared" si="292"/>
        <v>104.20959935634532</v>
      </c>
      <c r="AS166" s="5">
        <f t="shared" si="263"/>
        <v>9.5960449534067802</v>
      </c>
      <c r="AT166" s="5">
        <f t="shared" si="293"/>
        <v>6.6504649881727751</v>
      </c>
      <c r="AU166" s="5">
        <f t="shared" si="230"/>
        <v>2.9455799652340051</v>
      </c>
      <c r="AV166" s="5"/>
      <c r="AW166" s="153">
        <f t="shared" si="231"/>
        <v>0.69304229195088674</v>
      </c>
      <c r="AX166" s="153">
        <f t="shared" si="259"/>
        <v>1.2444444444444445</v>
      </c>
      <c r="AY166" s="153">
        <f t="shared" si="260"/>
        <v>6.1242344706911651E-2</v>
      </c>
      <c r="AZ166" s="153">
        <f t="shared" si="264"/>
        <v>20.319999999999997</v>
      </c>
      <c r="BA166" s="147">
        <f t="shared" si="294"/>
        <v>7.5578700647486725</v>
      </c>
      <c r="BB166" s="147">
        <f t="shared" si="295"/>
        <v>18.055755614814817</v>
      </c>
      <c r="BC166" s="5">
        <f t="shared" si="258"/>
        <v>0.40729006926692418</v>
      </c>
      <c r="BD166" s="147">
        <f t="shared" si="296"/>
        <v>41.143821741507224</v>
      </c>
      <c r="BF166" s="153">
        <f t="shared" si="265"/>
        <v>0.19178847384558156</v>
      </c>
      <c r="BG166" s="153">
        <f t="shared" si="261"/>
        <v>0.12763856302339419</v>
      </c>
      <c r="BI166" s="463">
        <f t="shared" si="236"/>
        <v>1.2873986545006063E-2</v>
      </c>
      <c r="BJ166" s="463">
        <f t="shared" si="237"/>
        <v>6.0959999999999999E-3</v>
      </c>
      <c r="BK166" s="463">
        <f t="shared" si="238"/>
        <v>1.3026199919543165E-3</v>
      </c>
      <c r="BL166" s="463">
        <f t="shared" si="239"/>
        <v>4.4792537142857147E-3</v>
      </c>
      <c r="BM166">
        <f t="shared" si="240"/>
        <v>2.6099999999999999E-3</v>
      </c>
      <c r="BN166">
        <f t="shared" si="297"/>
        <v>1.0420959935634532E-6</v>
      </c>
      <c r="BO166" s="463">
        <f t="shared" si="298"/>
        <v>2.9170177008852882E-2</v>
      </c>
      <c r="BP166" s="147">
        <f t="shared" si="243"/>
        <v>27.361860251246096</v>
      </c>
      <c r="BQ166" s="463">
        <f t="shared" si="299"/>
        <v>3.3838784516797206E-2</v>
      </c>
      <c r="BT166" s="147">
        <f t="shared" si="245"/>
        <v>33.838784516797205</v>
      </c>
      <c r="BU166" s="463">
        <f t="shared" si="246"/>
        <v>2.9426254960013859E-2</v>
      </c>
      <c r="BV166" s="463">
        <f t="shared" si="247"/>
        <v>1.2968115805458869E-2</v>
      </c>
      <c r="BW166" s="463">
        <f t="shared" si="248"/>
        <v>0</v>
      </c>
      <c r="BX166" s="463"/>
      <c r="BY166" s="463">
        <f t="shared" si="249"/>
        <v>2.4888888888888891E-2</v>
      </c>
      <c r="BZ166" s="147">
        <f t="shared" si="250"/>
        <v>67.283259654361615</v>
      </c>
      <c r="CA166" s="153">
        <f t="shared" si="251"/>
        <v>0.12848390442240493</v>
      </c>
      <c r="CB166" s="5">
        <f t="shared" si="252"/>
        <v>1.1200000000000001</v>
      </c>
      <c r="CC166" s="153">
        <f t="shared" si="253"/>
        <v>0.89708805698873118</v>
      </c>
      <c r="CD166" s="5">
        <f t="shared" si="254"/>
        <v>89.708805698873121</v>
      </c>
      <c r="CG166" s="59">
        <f t="shared" si="300"/>
        <v>-50</v>
      </c>
      <c r="CH166">
        <f t="shared" si="301"/>
        <v>-50</v>
      </c>
    </row>
    <row r="167" spans="5:86" x14ac:dyDescent="0.25">
      <c r="E167" s="150">
        <v>57</v>
      </c>
      <c r="F167" s="191">
        <f t="shared" si="302"/>
        <v>5.6999999999999995E-2</v>
      </c>
      <c r="G167" s="191"/>
      <c r="H167" s="191">
        <f t="shared" si="266"/>
        <v>1.1399999999999999</v>
      </c>
      <c r="I167" s="472">
        <f t="shared" si="267"/>
        <v>9</v>
      </c>
      <c r="J167" s="386">
        <f t="shared" si="268"/>
        <v>20.32</v>
      </c>
      <c r="K167" s="386">
        <f t="shared" si="269"/>
        <v>29.32</v>
      </c>
      <c r="L167" s="386"/>
      <c r="M167" s="191">
        <f t="shared" si="270"/>
        <v>0.69304229195088674</v>
      </c>
      <c r="N167" s="152">
        <f t="shared" si="271"/>
        <v>2.1101682401091408</v>
      </c>
      <c r="O167" s="152">
        <f t="shared" si="262"/>
        <v>1.1399999999999999</v>
      </c>
      <c r="P167" s="191">
        <f t="shared" si="272"/>
        <v>0.10550841200545705</v>
      </c>
      <c r="Q167" s="191">
        <f t="shared" si="273"/>
        <v>20</v>
      </c>
      <c r="R167" s="191"/>
      <c r="S167" s="152">
        <f t="shared" si="274"/>
        <v>44.353940797444587</v>
      </c>
      <c r="T167" s="152">
        <f t="shared" si="275"/>
        <v>20</v>
      </c>
      <c r="U167" s="191">
        <f t="shared" si="276"/>
        <v>0.40615339749198015</v>
      </c>
      <c r="V167" s="191">
        <f t="shared" si="277"/>
        <v>6.7692232915330015</v>
      </c>
      <c r="W167" s="191">
        <f t="shared" si="278"/>
        <v>2.998179607470326</v>
      </c>
      <c r="X167" s="175">
        <f t="shared" si="279"/>
        <v>277.21691678035478</v>
      </c>
      <c r="Y167" s="386">
        <f t="shared" si="215"/>
        <v>102.3813607711463</v>
      </c>
      <c r="AA167" s="191">
        <f t="shared" si="280"/>
        <v>0.14999999999999997</v>
      </c>
      <c r="AB167" s="153">
        <f t="shared" si="281"/>
        <v>1.1072834645669287</v>
      </c>
      <c r="AC167" s="153">
        <f t="shared" si="282"/>
        <v>2.3021828103683487E-2</v>
      </c>
      <c r="AD167" s="153"/>
      <c r="AE167" s="153">
        <f t="shared" si="283"/>
        <v>1.1072834645669289</v>
      </c>
      <c r="AF167" s="317">
        <f t="shared" si="284"/>
        <v>686.36444444444442</v>
      </c>
      <c r="AG167" s="463">
        <f t="shared" si="285"/>
        <v>2.3021828103683497E-2</v>
      </c>
      <c r="AI167" s="153">
        <f t="shared" si="286"/>
        <v>0.2100557749061629</v>
      </c>
      <c r="AJ167" s="153">
        <f t="shared" si="287"/>
        <v>0.40615339749198015</v>
      </c>
      <c r="AK167" s="153">
        <f t="shared" si="288"/>
        <v>1.3707689316613201</v>
      </c>
      <c r="AM167" s="317">
        <f t="shared" si="289"/>
        <v>56.999999999999993</v>
      </c>
      <c r="AN167" s="147">
        <f t="shared" si="290"/>
        <v>102.3813607711463</v>
      </c>
      <c r="AP167">
        <f t="shared" si="291"/>
        <v>56.999999999999993</v>
      </c>
      <c r="AQ167">
        <f t="shared" si="292"/>
        <v>102.3813607711463</v>
      </c>
      <c r="AS167" s="5">
        <f t="shared" si="263"/>
        <v>9.7674028990033275</v>
      </c>
      <c r="AT167" s="5">
        <f t="shared" si="293"/>
        <v>6.7692232915330015</v>
      </c>
      <c r="AU167" s="5">
        <f t="shared" si="230"/>
        <v>2.998179607470326</v>
      </c>
      <c r="AV167" s="5"/>
      <c r="AW167" s="153">
        <f t="shared" si="231"/>
        <v>0.69304229195088674</v>
      </c>
      <c r="AX167" s="153">
        <f t="shared" si="259"/>
        <v>1.2666666666666666</v>
      </c>
      <c r="AY167" s="153">
        <f t="shared" si="260"/>
        <v>6.2335958005249346E-2</v>
      </c>
      <c r="AZ167" s="153">
        <f t="shared" si="264"/>
        <v>20.319999999999997</v>
      </c>
      <c r="BA167" s="147">
        <f t="shared" si="294"/>
        <v>7.5578700647486725</v>
      </c>
      <c r="BB167" s="147">
        <f t="shared" si="295"/>
        <v>18.703308033333325</v>
      </c>
      <c r="BC167" s="5">
        <f t="shared" si="258"/>
        <v>0.42196601882915691</v>
      </c>
      <c r="BD167" s="147">
        <f t="shared" si="296"/>
        <v>42.618824105137911</v>
      </c>
      <c r="BF167" s="153">
        <f t="shared" si="265"/>
        <v>0.19521326802139549</v>
      </c>
      <c r="BG167" s="153">
        <f t="shared" si="261"/>
        <v>0.12991782307738337</v>
      </c>
      <c r="BI167" s="463">
        <f t="shared" si="236"/>
        <v>1.3337877004057615E-2</v>
      </c>
      <c r="BJ167" s="463">
        <f t="shared" si="237"/>
        <v>6.0959999999999999E-3</v>
      </c>
      <c r="BK167" s="463">
        <f t="shared" si="238"/>
        <v>1.2797670096393286E-3</v>
      </c>
      <c r="BL167" s="463">
        <f t="shared" si="239"/>
        <v>4.4006703157894742E-3</v>
      </c>
      <c r="BM167">
        <f t="shared" si="240"/>
        <v>2.6099999999999999E-3</v>
      </c>
      <c r="BN167">
        <f t="shared" si="297"/>
        <v>1.0238136077114632E-6</v>
      </c>
      <c r="BO167" s="463">
        <f t="shared" si="298"/>
        <v>2.9598789373380105E-2</v>
      </c>
      <c r="BP167" s="147">
        <f t="shared" si="243"/>
        <v>27.724314329486418</v>
      </c>
      <c r="BQ167" s="463">
        <f t="shared" si="299"/>
        <v>3.4669281535419046E-2</v>
      </c>
      <c r="BT167" s="147">
        <f t="shared" si="245"/>
        <v>34.669281535419046</v>
      </c>
      <c r="BU167" s="463">
        <f t="shared" si="246"/>
        <v>3.0486576009274555E-2</v>
      </c>
      <c r="BV167" s="463">
        <f t="shared" si="247"/>
        <v>1.3435398039520366E-2</v>
      </c>
      <c r="BW167" s="463">
        <f t="shared" si="248"/>
        <v>0</v>
      </c>
      <c r="BX167" s="463"/>
      <c r="BY167" s="463">
        <f t="shared" si="249"/>
        <v>2.5333333333333333E-2</v>
      </c>
      <c r="BZ167" s="147">
        <f t="shared" si="250"/>
        <v>69.255307382128265</v>
      </c>
      <c r="CA167" s="153">
        <f t="shared" si="251"/>
        <v>0.13164890324703371</v>
      </c>
      <c r="CB167" s="5">
        <f t="shared" si="252"/>
        <v>1.1399999999999999</v>
      </c>
      <c r="CC167" s="153">
        <f t="shared" si="253"/>
        <v>0.89647385932478629</v>
      </c>
      <c r="CD167" s="5">
        <f t="shared" si="254"/>
        <v>89.647385932478628</v>
      </c>
      <c r="CG167" s="59">
        <f t="shared" si="300"/>
        <v>-50</v>
      </c>
      <c r="CH167">
        <f t="shared" si="301"/>
        <v>-50</v>
      </c>
    </row>
    <row r="168" spans="5:86" x14ac:dyDescent="0.25">
      <c r="E168" s="150">
        <v>58</v>
      </c>
      <c r="F168" s="191">
        <f t="shared" si="302"/>
        <v>5.7999999999999996E-2</v>
      </c>
      <c r="G168" s="191"/>
      <c r="H168" s="191">
        <f t="shared" si="266"/>
        <v>1.1599999999999999</v>
      </c>
      <c r="I168" s="472">
        <f t="shared" si="267"/>
        <v>9</v>
      </c>
      <c r="J168" s="386">
        <f t="shared" si="268"/>
        <v>20.32</v>
      </c>
      <c r="K168" s="386">
        <f t="shared" si="269"/>
        <v>29.32</v>
      </c>
      <c r="L168" s="386"/>
      <c r="M168" s="191">
        <f t="shared" si="270"/>
        <v>0.69304229195088674</v>
      </c>
      <c r="N168" s="152">
        <f t="shared" si="271"/>
        <v>2.1101682401091408</v>
      </c>
      <c r="O168" s="152">
        <f t="shared" si="262"/>
        <v>1.1599999999999999</v>
      </c>
      <c r="P168" s="191">
        <f t="shared" si="272"/>
        <v>0.10550841200545705</v>
      </c>
      <c r="Q168" s="191">
        <f t="shared" si="273"/>
        <v>20</v>
      </c>
      <c r="R168" s="191"/>
      <c r="S168" s="152">
        <f t="shared" si="274"/>
        <v>43.436508435120778</v>
      </c>
      <c r="T168" s="152">
        <f t="shared" si="275"/>
        <v>20</v>
      </c>
      <c r="U168" s="191">
        <f t="shared" si="276"/>
        <v>0.41327889569359388</v>
      </c>
      <c r="V168" s="191">
        <f t="shared" si="277"/>
        <v>6.8879815948932306</v>
      </c>
      <c r="W168" s="191">
        <f t="shared" si="278"/>
        <v>3.0507792497066473</v>
      </c>
      <c r="X168" s="175">
        <f t="shared" si="279"/>
        <v>277.21691678035478</v>
      </c>
      <c r="Y168" s="386">
        <f t="shared" si="215"/>
        <v>100.61616489578171</v>
      </c>
      <c r="AA168" s="191">
        <f t="shared" si="280"/>
        <v>0.14999999999999997</v>
      </c>
      <c r="AB168" s="153">
        <f t="shared" si="281"/>
        <v>1.1072834645669287</v>
      </c>
      <c r="AC168" s="153">
        <f t="shared" si="282"/>
        <v>2.3021828103683487E-2</v>
      </c>
      <c r="AD168" s="153"/>
      <c r="AE168" s="153">
        <f t="shared" si="283"/>
        <v>1.1072834645669289</v>
      </c>
      <c r="AF168" s="317">
        <f t="shared" si="284"/>
        <v>698.405925925926</v>
      </c>
      <c r="AG168" s="463">
        <f t="shared" si="285"/>
        <v>2.3021828103683497E-2</v>
      </c>
      <c r="AI168" s="153">
        <f t="shared" si="286"/>
        <v>0.21189035799092842</v>
      </c>
      <c r="AJ168" s="153">
        <f t="shared" si="287"/>
        <v>0.41327889569359388</v>
      </c>
      <c r="AK168" s="153">
        <f t="shared" si="288"/>
        <v>1.3755192637957292</v>
      </c>
      <c r="AM168" s="317">
        <f t="shared" si="289"/>
        <v>57.999999999999993</v>
      </c>
      <c r="AN168" s="147">
        <f t="shared" si="290"/>
        <v>100.61616489578171</v>
      </c>
      <c r="AP168">
        <f t="shared" si="291"/>
        <v>57.999999999999993</v>
      </c>
      <c r="AQ168">
        <f t="shared" si="292"/>
        <v>100.61616489578171</v>
      </c>
      <c r="AS168" s="5">
        <f t="shared" si="263"/>
        <v>9.9387608445998783</v>
      </c>
      <c r="AT168" s="5">
        <f t="shared" si="293"/>
        <v>6.8879815948932306</v>
      </c>
      <c r="AU168" s="5">
        <f t="shared" si="230"/>
        <v>3.0507792497066477</v>
      </c>
      <c r="AV168" s="5"/>
      <c r="AW168" s="153">
        <f t="shared" si="231"/>
        <v>0.69304229195088674</v>
      </c>
      <c r="AX168" s="153">
        <f t="shared" si="259"/>
        <v>1.288888888888889</v>
      </c>
      <c r="AY168" s="153">
        <f t="shared" si="260"/>
        <v>6.3429571303587062E-2</v>
      </c>
      <c r="AZ168" s="153">
        <f t="shared" si="264"/>
        <v>20.319999999999997</v>
      </c>
      <c r="BA168" s="147">
        <f t="shared" si="294"/>
        <v>7.5578700647486725</v>
      </c>
      <c r="BB168" s="147">
        <f t="shared" si="295"/>
        <v>19.362268459259255</v>
      </c>
      <c r="BC168" s="5">
        <f t="shared" si="258"/>
        <v>0.43690171971107539</v>
      </c>
      <c r="BD168" s="147">
        <f t="shared" si="296"/>
        <v>44.119801600737176</v>
      </c>
      <c r="BF168" s="153">
        <f t="shared" si="265"/>
        <v>0.19863806219720948</v>
      </c>
      <c r="BG168" s="153">
        <f t="shared" si="261"/>
        <v>0.13219708313137254</v>
      </c>
      <c r="BI168" s="463">
        <f t="shared" si="236"/>
        <v>1.3809977913711859E-2</v>
      </c>
      <c r="BJ168" s="463">
        <f t="shared" si="237"/>
        <v>6.0960000000000016E-3</v>
      </c>
      <c r="BK168" s="463">
        <f t="shared" si="238"/>
        <v>1.2577020611972713E-3</v>
      </c>
      <c r="BL168" s="463">
        <f t="shared" si="239"/>
        <v>4.3247966896551729E-3</v>
      </c>
      <c r="BM168">
        <f t="shared" si="240"/>
        <v>2.6099999999999999E-3</v>
      </c>
      <c r="BN168">
        <f t="shared" si="297"/>
        <v>1.006161648957817E-6</v>
      </c>
      <c r="BO168" s="463">
        <f t="shared" si="298"/>
        <v>3.0040370935074417E-2</v>
      </c>
      <c r="BP168" s="147">
        <f t="shared" si="243"/>
        <v>28.098476664564306</v>
      </c>
      <c r="BQ168" s="463">
        <f t="shared" si="299"/>
        <v>3.5507716554370468E-2</v>
      </c>
      <c r="BT168" s="147">
        <f t="shared" si="245"/>
        <v>35.507716554370468</v>
      </c>
      <c r="BU168" s="463">
        <f t="shared" si="246"/>
        <v>3.1565663802769969E-2</v>
      </c>
      <c r="BV168" s="463">
        <f t="shared" si="247"/>
        <v>1.3910950755600648E-2</v>
      </c>
      <c r="BW168" s="463">
        <f t="shared" si="248"/>
        <v>0</v>
      </c>
      <c r="BX168" s="463"/>
      <c r="BY168" s="463">
        <f t="shared" si="249"/>
        <v>2.5777777777777785E-2</v>
      </c>
      <c r="BZ168" s="147">
        <f t="shared" si="250"/>
        <v>71.254392336148399</v>
      </c>
      <c r="CA168" s="153">
        <f t="shared" si="251"/>
        <v>0.13486058555508318</v>
      </c>
      <c r="CB168" s="5">
        <f t="shared" si="252"/>
        <v>1.1599999999999999</v>
      </c>
      <c r="CC168" s="153">
        <f t="shared" si="253"/>
        <v>0.89584933925742216</v>
      </c>
      <c r="CD168" s="5">
        <f t="shared" si="254"/>
        <v>89.58493392574222</v>
      </c>
      <c r="CG168" s="59">
        <f t="shared" si="300"/>
        <v>-50</v>
      </c>
      <c r="CH168">
        <f t="shared" si="301"/>
        <v>-50</v>
      </c>
    </row>
    <row r="169" spans="5:86" x14ac:dyDescent="0.25">
      <c r="E169" s="150">
        <v>59</v>
      </c>
      <c r="F169" s="191">
        <f t="shared" si="302"/>
        <v>5.8999999999999997E-2</v>
      </c>
      <c r="G169" s="191"/>
      <c r="H169" s="191">
        <f t="shared" si="266"/>
        <v>1.18</v>
      </c>
      <c r="I169" s="472">
        <f t="shared" si="267"/>
        <v>9</v>
      </c>
      <c r="J169" s="386">
        <f t="shared" si="268"/>
        <v>20.32</v>
      </c>
      <c r="K169" s="386">
        <f t="shared" si="269"/>
        <v>29.32</v>
      </c>
      <c r="L169" s="386"/>
      <c r="M169" s="191">
        <f t="shared" si="270"/>
        <v>0.69304229195088674</v>
      </c>
      <c r="N169" s="152">
        <f t="shared" si="271"/>
        <v>2.1101682401091408</v>
      </c>
      <c r="O169" s="152">
        <f t="shared" si="262"/>
        <v>1.18</v>
      </c>
      <c r="P169" s="191">
        <f t="shared" si="272"/>
        <v>0.10550841200545705</v>
      </c>
      <c r="Q169" s="191">
        <f t="shared" si="273"/>
        <v>20</v>
      </c>
      <c r="R169" s="191"/>
      <c r="S169" s="152">
        <f t="shared" si="274"/>
        <v>42.550230332560901</v>
      </c>
      <c r="T169" s="152">
        <f t="shared" si="275"/>
        <v>20</v>
      </c>
      <c r="U169" s="191">
        <f t="shared" si="276"/>
        <v>0.42040439389520756</v>
      </c>
      <c r="V169" s="191">
        <f t="shared" si="277"/>
        <v>7.0067398982534588</v>
      </c>
      <c r="W169" s="191">
        <f t="shared" si="278"/>
        <v>3.1033788919429686</v>
      </c>
      <c r="X169" s="175">
        <f t="shared" si="279"/>
        <v>277.21691678035478</v>
      </c>
      <c r="Y169" s="386">
        <f t="shared" si="215"/>
        <v>98.910806168734553</v>
      </c>
      <c r="AA169" s="191">
        <f t="shared" si="280"/>
        <v>0.14999999999999997</v>
      </c>
      <c r="AB169" s="153">
        <f t="shared" si="281"/>
        <v>1.1072834645669287</v>
      </c>
      <c r="AC169" s="153">
        <f t="shared" si="282"/>
        <v>2.3021828103683487E-2</v>
      </c>
      <c r="AD169" s="153"/>
      <c r="AE169" s="153">
        <f t="shared" si="283"/>
        <v>1.1072834645669289</v>
      </c>
      <c r="AF169" s="317">
        <f t="shared" si="284"/>
        <v>710.44740740740747</v>
      </c>
      <c r="AG169" s="463">
        <f t="shared" si="285"/>
        <v>2.3021828103683497E-2</v>
      </c>
      <c r="AI169" s="153">
        <f t="shared" si="286"/>
        <v>0.2137091927073308</v>
      </c>
      <c r="AJ169" s="153">
        <f t="shared" si="287"/>
        <v>0.42040439389520756</v>
      </c>
      <c r="AK169" s="153">
        <f t="shared" si="288"/>
        <v>1.3802695959301383</v>
      </c>
      <c r="AM169" s="317">
        <f t="shared" si="289"/>
        <v>59</v>
      </c>
      <c r="AN169" s="147">
        <f t="shared" si="290"/>
        <v>98.910806168734553</v>
      </c>
      <c r="AP169">
        <f t="shared" si="291"/>
        <v>59</v>
      </c>
      <c r="AQ169">
        <f t="shared" si="292"/>
        <v>98.910806168734553</v>
      </c>
      <c r="AS169" s="5">
        <f t="shared" si="263"/>
        <v>10.110118790196429</v>
      </c>
      <c r="AT169" s="5">
        <f t="shared" si="293"/>
        <v>7.0067398982534588</v>
      </c>
      <c r="AU169" s="5">
        <f t="shared" si="230"/>
        <v>3.1033788919429703</v>
      </c>
      <c r="AV169" s="5"/>
      <c r="AW169" s="153">
        <f t="shared" si="231"/>
        <v>0.69304229195088662</v>
      </c>
      <c r="AX169" s="153">
        <f t="shared" si="259"/>
        <v>1.3111111111111111</v>
      </c>
      <c r="AY169" s="153">
        <f t="shared" si="260"/>
        <v>6.4523184601924799E-2</v>
      </c>
      <c r="AZ169" s="153">
        <f t="shared" si="264"/>
        <v>20.319999999999986</v>
      </c>
      <c r="BA169" s="147">
        <f t="shared" si="294"/>
        <v>7.5578700647486725</v>
      </c>
      <c r="BB169" s="147">
        <f t="shared" si="295"/>
        <v>20.032636892592588</v>
      </c>
      <c r="BC169" s="5">
        <f t="shared" si="258"/>
        <v>0.45209717191267962</v>
      </c>
      <c r="BD169" s="147">
        <f t="shared" si="296"/>
        <v>45.646754228304992</v>
      </c>
      <c r="BF169" s="153">
        <f t="shared" si="265"/>
        <v>0.2020628563730234</v>
      </c>
      <c r="BG169" s="153">
        <f t="shared" si="261"/>
        <v>0.13447634318536175</v>
      </c>
      <c r="BI169" s="463">
        <f t="shared" si="236"/>
        <v>1.4290289273968779E-2</v>
      </c>
      <c r="BJ169" s="463">
        <f t="shared" si="237"/>
        <v>6.0959999999999999E-3</v>
      </c>
      <c r="BK169" s="463">
        <f t="shared" si="238"/>
        <v>1.2363850771091819E-3</v>
      </c>
      <c r="BL169" s="463">
        <f t="shared" si="239"/>
        <v>4.2514950508474583E-3</v>
      </c>
      <c r="BM169">
        <f t="shared" si="240"/>
        <v>2.6099999999999999E-3</v>
      </c>
      <c r="BN169">
        <f t="shared" si="297"/>
        <v>9.8910806168734553E-7</v>
      </c>
      <c r="BO169" s="463">
        <f t="shared" si="298"/>
        <v>3.0494748747054923E-2</v>
      </c>
      <c r="BP169" s="147">
        <f t="shared" si="243"/>
        <v>28.484169401925424</v>
      </c>
      <c r="BQ169" s="463">
        <f t="shared" si="299"/>
        <v>3.6354089573651494E-2</v>
      </c>
      <c r="BT169" s="147">
        <f t="shared" si="245"/>
        <v>36.354089573651493</v>
      </c>
      <c r="BU169" s="463">
        <f t="shared" si="246"/>
        <v>3.2663518340500068E-2</v>
      </c>
      <c r="BV169" s="463">
        <f t="shared" si="247"/>
        <v>1.4394773953699725E-2</v>
      </c>
      <c r="BW169" s="463">
        <f t="shared" si="248"/>
        <v>0</v>
      </c>
      <c r="BX169" s="463"/>
      <c r="BY169" s="463">
        <f t="shared" si="249"/>
        <v>2.6222222222222223E-2</v>
      </c>
      <c r="BZ169" s="147">
        <f t="shared" si="250"/>
        <v>73.280514516422002</v>
      </c>
      <c r="CA169" s="153">
        <f t="shared" si="251"/>
        <v>0.13811877349199894</v>
      </c>
      <c r="CB169" s="5">
        <f t="shared" si="252"/>
        <v>1.18</v>
      </c>
      <c r="CC169" s="153">
        <f t="shared" si="253"/>
        <v>0.8952152292573069</v>
      </c>
      <c r="CD169" s="5">
        <f t="shared" si="254"/>
        <v>89.521522925730693</v>
      </c>
      <c r="CG169" s="59">
        <f t="shared" si="300"/>
        <v>-50</v>
      </c>
      <c r="CH169">
        <f t="shared" si="301"/>
        <v>-50</v>
      </c>
    </row>
    <row r="170" spans="5:86" x14ac:dyDescent="0.25">
      <c r="E170" s="150">
        <v>60</v>
      </c>
      <c r="F170" s="191">
        <f t="shared" si="302"/>
        <v>0.06</v>
      </c>
      <c r="G170" s="191"/>
      <c r="H170" s="191">
        <f t="shared" si="266"/>
        <v>1.2</v>
      </c>
      <c r="I170" s="472">
        <f t="shared" si="267"/>
        <v>9</v>
      </c>
      <c r="J170" s="386">
        <f t="shared" si="268"/>
        <v>20.32</v>
      </c>
      <c r="K170" s="386">
        <f t="shared" si="269"/>
        <v>29.32</v>
      </c>
      <c r="L170" s="386"/>
      <c r="M170" s="191">
        <f t="shared" si="270"/>
        <v>0.69304229195088674</v>
      </c>
      <c r="N170" s="152">
        <f t="shared" si="271"/>
        <v>2.1101682401091408</v>
      </c>
      <c r="O170" s="152">
        <f t="shared" si="262"/>
        <v>1.2</v>
      </c>
      <c r="P170" s="191">
        <f t="shared" si="272"/>
        <v>0.10550841200545705</v>
      </c>
      <c r="Q170" s="191">
        <f t="shared" si="273"/>
        <v>20</v>
      </c>
      <c r="R170" s="191"/>
      <c r="S170" s="152">
        <f t="shared" si="274"/>
        <v>41.693549314375936</v>
      </c>
      <c r="T170" s="152">
        <f t="shared" si="275"/>
        <v>20</v>
      </c>
      <c r="U170" s="191">
        <f t="shared" si="276"/>
        <v>0.42752989209682124</v>
      </c>
      <c r="V170" s="191">
        <f t="shared" si="277"/>
        <v>7.1254982016136861</v>
      </c>
      <c r="W170" s="191">
        <f t="shared" si="278"/>
        <v>3.1559785341792899</v>
      </c>
      <c r="X170" s="175">
        <f t="shared" si="279"/>
        <v>277.21691678035478</v>
      </c>
      <c r="Y170" s="386">
        <f t="shared" ref="Y170:Y210" si="303">MIN(1/(V170+W170)*1000, 350)</f>
        <v>97.262292732588989</v>
      </c>
      <c r="AA170" s="191">
        <f t="shared" si="280"/>
        <v>0.14999999999999997</v>
      </c>
      <c r="AB170" s="153">
        <f t="shared" si="281"/>
        <v>1.1072834645669287</v>
      </c>
      <c r="AC170" s="153">
        <f t="shared" si="282"/>
        <v>2.3021828103683487E-2</v>
      </c>
      <c r="AD170" s="153"/>
      <c r="AE170" s="153">
        <f t="shared" si="283"/>
        <v>1.1072834645669289</v>
      </c>
      <c r="AF170" s="317">
        <f t="shared" si="284"/>
        <v>722.48888888888882</v>
      </c>
      <c r="AG170" s="463">
        <f t="shared" si="285"/>
        <v>2.3021828103683497E-2</v>
      </c>
      <c r="AI170" s="153">
        <f t="shared" si="286"/>
        <v>0.21551267778419508</v>
      </c>
      <c r="AJ170" s="153">
        <f t="shared" si="287"/>
        <v>0.42752989209682124</v>
      </c>
      <c r="AK170" s="153">
        <f t="shared" si="288"/>
        <v>1.3850199280645474</v>
      </c>
      <c r="AM170" s="317">
        <f t="shared" si="289"/>
        <v>60</v>
      </c>
      <c r="AN170" s="147">
        <f t="shared" si="290"/>
        <v>97.262292732588989</v>
      </c>
      <c r="AP170">
        <f t="shared" si="291"/>
        <v>60</v>
      </c>
      <c r="AQ170">
        <f t="shared" si="292"/>
        <v>97.262292732588989</v>
      </c>
      <c r="AS170" s="5">
        <f t="shared" si="263"/>
        <v>10.281476735792976</v>
      </c>
      <c r="AT170" s="5">
        <f t="shared" si="293"/>
        <v>7.1254982016136861</v>
      </c>
      <c r="AU170" s="5">
        <f t="shared" ref="AU170:AU233" si="304">AS170-AT170</f>
        <v>3.1559785341792903</v>
      </c>
      <c r="AV170" s="5"/>
      <c r="AW170" s="153">
        <f t="shared" ref="AW170:AW233" si="305">AT170/AS170</f>
        <v>0.69304229195088674</v>
      </c>
      <c r="AX170" s="153">
        <f t="shared" si="259"/>
        <v>1.3333333333333335</v>
      </c>
      <c r="AY170" s="153">
        <f t="shared" si="260"/>
        <v>6.561679790026248E-2</v>
      </c>
      <c r="AZ170" s="153">
        <f t="shared" si="264"/>
        <v>20.319999999999997</v>
      </c>
      <c r="BA170" s="147">
        <f t="shared" si="294"/>
        <v>7.5578700647486725</v>
      </c>
      <c r="BB170" s="147">
        <f t="shared" si="295"/>
        <v>20.714413333333326</v>
      </c>
      <c r="BC170" s="5">
        <f t="shared" si="258"/>
        <v>0.46755237543396888</v>
      </c>
      <c r="BD170" s="147">
        <f t="shared" si="296"/>
        <v>47.199681987841331</v>
      </c>
      <c r="BF170" s="153">
        <f t="shared" si="265"/>
        <v>0.20548765054883739</v>
      </c>
      <c r="BG170" s="153">
        <f t="shared" si="261"/>
        <v>0.1367556032393509</v>
      </c>
      <c r="BI170" s="463">
        <f t="shared" ref="BI170:BI210" si="306">Rdson*BF170^2</f>
        <v>1.4778811084828388E-2</v>
      </c>
      <c r="BJ170" s="463">
        <f t="shared" ref="BJ170:BJ210" si="307">0.5*K170*AJ170*AN170*1000*Trise</f>
        <v>6.0960000000000016E-3</v>
      </c>
      <c r="BK170" s="463">
        <f t="shared" ref="BK170:BK210" si="308">Qg*Vdd*AN170*1000</f>
        <v>1.2157786591573622E-3</v>
      </c>
      <c r="BL170" s="463">
        <f t="shared" ref="BL170:BL210" si="309">0.5*(Coss+Csw)*K170^2*AN170*1000</f>
        <v>4.1806368000000009E-3</v>
      </c>
      <c r="BM170">
        <f t="shared" ref="BM170:BM210" si="310">I170*IQ</f>
        <v>2.6099999999999999E-3</v>
      </c>
      <c r="BN170">
        <f t="shared" si="297"/>
        <v>9.7262292732588985E-7</v>
      </c>
      <c r="BO170" s="463">
        <f t="shared" si="298"/>
        <v>3.0961761809648668E-2</v>
      </c>
      <c r="BP170" s="147">
        <f t="shared" ref="BP170:BP210" si="311">SUM(BI170:BM170)*1000</f>
        <v>28.881226543985754</v>
      </c>
      <c r="BQ170" s="463">
        <f t="shared" si="299"/>
        <v>3.7208400593262102E-2</v>
      </c>
      <c r="BT170" s="147">
        <f t="shared" ref="BT170:BT210" si="312">SUM(BQ170:BS170)*1000</f>
        <v>37.208400593262098</v>
      </c>
      <c r="BU170" s="463">
        <f t="shared" ref="BU170:BU210" si="313">Rdcr_pri*BF170^2</f>
        <v>3.3780139622464893E-2</v>
      </c>
      <c r="BV170" s="463">
        <f t="shared" ref="BV170:BV210" si="314">Rdcr_sec*BG170^2</f>
        <v>1.4886867633817575E-2</v>
      </c>
      <c r="BW170" s="463">
        <f t="shared" ref="BW170:BW210" si="315">AJ170^2.5*AN170^2.5*k_core</f>
        <v>0</v>
      </c>
      <c r="BX170" s="463"/>
      <c r="BY170" s="463">
        <f t="shared" ref="BY170:BY210" si="316">0.5*Lleak*0.000000001*AJ170^2*AN170*1000</f>
        <v>2.6666666666666672E-2</v>
      </c>
      <c r="BZ170" s="147">
        <f t="shared" ref="BZ170:BZ210" si="317">SUM(BU170:BY170)*1000</f>
        <v>75.333673922949131</v>
      </c>
      <c r="CA170" s="153">
        <f t="shared" ref="CA170:CA210" si="318">SUM(BI170:BM170,BQ170:BS170,BU170:BY170)</f>
        <v>0.14142330106019702</v>
      </c>
      <c r="CB170" s="5">
        <f t="shared" ref="CB170:CB212" si="319">MIN(H170,O170)</f>
        <v>1.2</v>
      </c>
      <c r="CC170" s="153">
        <f t="shared" ref="CC170:CC210" si="320">CB170/(CB170+CA170)</f>
        <v>0.89457220480036181</v>
      </c>
      <c r="CD170" s="5">
        <f t="shared" ref="CD170:CD210" si="321">CC170*100</f>
        <v>89.457220480036185</v>
      </c>
      <c r="CG170" s="59">
        <f t="shared" si="300"/>
        <v>-50</v>
      </c>
      <c r="CH170">
        <f t="shared" si="301"/>
        <v>-50</v>
      </c>
    </row>
    <row r="171" spans="5:86" x14ac:dyDescent="0.25">
      <c r="E171" s="150">
        <v>61</v>
      </c>
      <c r="F171" s="191">
        <f t="shared" si="302"/>
        <v>6.0999999999999999E-2</v>
      </c>
      <c r="G171" s="191"/>
      <c r="H171" s="191">
        <f t="shared" si="266"/>
        <v>1.22</v>
      </c>
      <c r="I171" s="472">
        <f t="shared" si="267"/>
        <v>9</v>
      </c>
      <c r="J171" s="386">
        <f t="shared" si="268"/>
        <v>20.32</v>
      </c>
      <c r="K171" s="386">
        <f t="shared" si="269"/>
        <v>29.32</v>
      </c>
      <c r="L171" s="386"/>
      <c r="M171" s="191">
        <f t="shared" si="270"/>
        <v>0.69304229195088674</v>
      </c>
      <c r="N171" s="152">
        <f t="shared" si="271"/>
        <v>2.1101682401091408</v>
      </c>
      <c r="O171" s="152">
        <f t="shared" si="262"/>
        <v>1.22</v>
      </c>
      <c r="P171" s="191">
        <f t="shared" si="272"/>
        <v>0.10550841200545705</v>
      </c>
      <c r="Q171" s="191">
        <f t="shared" si="273"/>
        <v>20</v>
      </c>
      <c r="R171" s="191"/>
      <c r="S171" s="152">
        <f t="shared" si="274"/>
        <v>40.86501032166796</v>
      </c>
      <c r="T171" s="152">
        <f t="shared" si="275"/>
        <v>20</v>
      </c>
      <c r="U171" s="191">
        <f t="shared" si="276"/>
        <v>0.43465539029843492</v>
      </c>
      <c r="V171" s="191">
        <f t="shared" si="277"/>
        <v>7.2442565049739143</v>
      </c>
      <c r="W171" s="191">
        <f t="shared" si="278"/>
        <v>3.2085781764156116</v>
      </c>
      <c r="X171" s="175">
        <f t="shared" si="279"/>
        <v>277.21691678035478</v>
      </c>
      <c r="Y171" s="386">
        <f t="shared" si="303"/>
        <v>95.667828917300653</v>
      </c>
      <c r="AA171" s="191">
        <f t="shared" si="280"/>
        <v>0.14999999999999997</v>
      </c>
      <c r="AB171" s="153">
        <f t="shared" si="281"/>
        <v>1.1072834645669287</v>
      </c>
      <c r="AC171" s="153">
        <f t="shared" si="282"/>
        <v>2.3021828103683487E-2</v>
      </c>
      <c r="AD171" s="153"/>
      <c r="AE171" s="153">
        <f t="shared" si="283"/>
        <v>1.1072834645669289</v>
      </c>
      <c r="AF171" s="317">
        <f t="shared" si="284"/>
        <v>734.53037037037041</v>
      </c>
      <c r="AG171" s="463">
        <f t="shared" si="285"/>
        <v>2.3021828103683497E-2</v>
      </c>
      <c r="AI171" s="153">
        <f t="shared" si="286"/>
        <v>0.21730119540354473</v>
      </c>
      <c r="AJ171" s="153">
        <f t="shared" si="287"/>
        <v>0.43465539029843492</v>
      </c>
      <c r="AK171" s="153">
        <f t="shared" si="288"/>
        <v>1.3897702601989566</v>
      </c>
      <c r="AM171" s="317">
        <f t="shared" si="289"/>
        <v>61</v>
      </c>
      <c r="AN171" s="147">
        <f t="shared" si="290"/>
        <v>95.667828917300653</v>
      </c>
      <c r="AP171">
        <f t="shared" si="291"/>
        <v>61</v>
      </c>
      <c r="AQ171">
        <f t="shared" si="292"/>
        <v>95.667828917300653</v>
      </c>
      <c r="AS171" s="5">
        <f t="shared" si="263"/>
        <v>10.452834681389525</v>
      </c>
      <c r="AT171" s="5">
        <f t="shared" si="293"/>
        <v>7.2442565049739143</v>
      </c>
      <c r="AU171" s="5">
        <f t="shared" si="304"/>
        <v>3.2085781764156112</v>
      </c>
      <c r="AV171" s="5"/>
      <c r="AW171" s="153">
        <f t="shared" si="305"/>
        <v>0.69304229195088685</v>
      </c>
      <c r="AX171" s="153">
        <f t="shared" si="259"/>
        <v>1.3555555555555558</v>
      </c>
      <c r="AY171" s="153">
        <f t="shared" si="260"/>
        <v>6.6710411198600161E-2</v>
      </c>
      <c r="AZ171" s="153">
        <f t="shared" si="264"/>
        <v>20.320000000000007</v>
      </c>
      <c r="BA171" s="147">
        <f t="shared" si="294"/>
        <v>7.5578700647486725</v>
      </c>
      <c r="BB171" s="147">
        <f t="shared" si="295"/>
        <v>21.407597781481474</v>
      </c>
      <c r="BC171" s="5">
        <f t="shared" si="258"/>
        <v>0.48326733027494384</v>
      </c>
      <c r="BD171" s="147">
        <f t="shared" si="296"/>
        <v>48.778584879346234</v>
      </c>
      <c r="BF171" s="153">
        <f t="shared" si="265"/>
        <v>0.20891244472465137</v>
      </c>
      <c r="BG171" s="153">
        <f t="shared" si="261"/>
        <v>0.13903486329334006</v>
      </c>
      <c r="BI171" s="463">
        <f t="shared" si="306"/>
        <v>1.5275543346290679E-2</v>
      </c>
      <c r="BJ171" s="463">
        <f t="shared" si="307"/>
        <v>6.0960000000000016E-3</v>
      </c>
      <c r="BK171" s="463">
        <f t="shared" si="308"/>
        <v>1.195847861466258E-3</v>
      </c>
      <c r="BL171" s="463">
        <f t="shared" si="309"/>
        <v>4.1121017704918049E-3</v>
      </c>
      <c r="BM171">
        <f t="shared" si="310"/>
        <v>2.6099999999999999E-3</v>
      </c>
      <c r="BN171">
        <f t="shared" si="297"/>
        <v>9.5667828917300648E-7</v>
      </c>
      <c r="BO171" s="463">
        <f t="shared" si="298"/>
        <v>3.1441260098448144E-2</v>
      </c>
      <c r="BP171" s="147">
        <f t="shared" si="311"/>
        <v>29.289492978248745</v>
      </c>
      <c r="BQ171" s="463">
        <f t="shared" si="299"/>
        <v>3.8070649613202293E-2</v>
      </c>
      <c r="BT171" s="147">
        <f t="shared" si="312"/>
        <v>38.070649613202292</v>
      </c>
      <c r="BU171" s="463">
        <f t="shared" si="313"/>
        <v>3.4915527648664416E-2</v>
      </c>
      <c r="BV171" s="463">
        <f t="shared" si="314"/>
        <v>1.5387231795954215E-2</v>
      </c>
      <c r="BW171" s="463">
        <f t="shared" si="315"/>
        <v>0</v>
      </c>
      <c r="BX171" s="463"/>
      <c r="BY171" s="463">
        <f t="shared" si="316"/>
        <v>2.7111111111111117E-2</v>
      </c>
      <c r="BZ171" s="147">
        <f t="shared" si="317"/>
        <v>77.413870555729744</v>
      </c>
      <c r="CA171" s="153">
        <f t="shared" si="318"/>
        <v>0.1447740131471808</v>
      </c>
      <c r="CB171" s="5">
        <f t="shared" si="319"/>
        <v>1.22</v>
      </c>
      <c r="CC171" s="153">
        <f t="shared" si="320"/>
        <v>0.8939208896472679</v>
      </c>
      <c r="CD171" s="5">
        <f t="shared" si="321"/>
        <v>89.392088964726796</v>
      </c>
      <c r="CG171" s="59">
        <f t="shared" si="300"/>
        <v>-50</v>
      </c>
      <c r="CH171">
        <f t="shared" si="301"/>
        <v>-50</v>
      </c>
    </row>
    <row r="172" spans="5:86" x14ac:dyDescent="0.25">
      <c r="E172" s="150">
        <v>62</v>
      </c>
      <c r="F172" s="191">
        <f t="shared" si="302"/>
        <v>6.2E-2</v>
      </c>
      <c r="G172" s="191"/>
      <c r="H172" s="191">
        <f t="shared" si="266"/>
        <v>1.24</v>
      </c>
      <c r="I172" s="472">
        <f t="shared" si="267"/>
        <v>9</v>
      </c>
      <c r="J172" s="386">
        <f t="shared" si="268"/>
        <v>20.32</v>
      </c>
      <c r="K172" s="386">
        <f t="shared" si="269"/>
        <v>29.32</v>
      </c>
      <c r="L172" s="386"/>
      <c r="M172" s="191">
        <f t="shared" si="270"/>
        <v>0.69304229195088674</v>
      </c>
      <c r="N172" s="152">
        <f t="shared" si="271"/>
        <v>2.1101682401091408</v>
      </c>
      <c r="O172" s="152">
        <f t="shared" si="262"/>
        <v>1.24</v>
      </c>
      <c r="P172" s="191">
        <f t="shared" si="272"/>
        <v>0.10550841200545705</v>
      </c>
      <c r="Q172" s="191">
        <f t="shared" si="273"/>
        <v>20</v>
      </c>
      <c r="R172" s="191"/>
      <c r="S172" s="152">
        <f t="shared" si="274"/>
        <v>40.063252176924372</v>
      </c>
      <c r="T172" s="152">
        <f t="shared" si="275"/>
        <v>20</v>
      </c>
      <c r="U172" s="191">
        <f t="shared" si="276"/>
        <v>0.44178088850004865</v>
      </c>
      <c r="V172" s="191">
        <f t="shared" si="277"/>
        <v>7.3630148083341433</v>
      </c>
      <c r="W172" s="191">
        <f t="shared" si="278"/>
        <v>3.2611778186519333</v>
      </c>
      <c r="X172" s="175">
        <f t="shared" si="279"/>
        <v>277.21691678035478</v>
      </c>
      <c r="Y172" s="386">
        <f t="shared" si="303"/>
        <v>94.124799418634495</v>
      </c>
      <c r="AA172" s="191">
        <f t="shared" si="280"/>
        <v>0.14999999999999997</v>
      </c>
      <c r="AB172" s="153">
        <f t="shared" si="281"/>
        <v>1.1072834645669287</v>
      </c>
      <c r="AC172" s="153">
        <f t="shared" si="282"/>
        <v>2.3021828103683487E-2</v>
      </c>
      <c r="AD172" s="153"/>
      <c r="AE172" s="153">
        <f t="shared" si="283"/>
        <v>1.1072834645669289</v>
      </c>
      <c r="AF172" s="317">
        <f t="shared" si="284"/>
        <v>746.57185185185187</v>
      </c>
      <c r="AG172" s="463">
        <f t="shared" si="285"/>
        <v>2.3021828103683497E-2</v>
      </c>
      <c r="AI172" s="153">
        <f t="shared" si="286"/>
        <v>0.21907511214627909</v>
      </c>
      <c r="AJ172" s="153">
        <f t="shared" si="287"/>
        <v>0.44178088850004865</v>
      </c>
      <c r="AK172" s="153">
        <f t="shared" si="288"/>
        <v>1.3945205923333659</v>
      </c>
      <c r="AM172" s="317">
        <f t="shared" si="289"/>
        <v>62</v>
      </c>
      <c r="AN172" s="147">
        <f t="shared" si="290"/>
        <v>94.124799418634495</v>
      </c>
      <c r="AP172">
        <f t="shared" si="291"/>
        <v>62</v>
      </c>
      <c r="AQ172">
        <f t="shared" si="292"/>
        <v>94.124799418634495</v>
      </c>
      <c r="AS172" s="5">
        <f t="shared" si="263"/>
        <v>10.624192626986076</v>
      </c>
      <c r="AT172" s="5">
        <f t="shared" si="293"/>
        <v>7.3630148083341433</v>
      </c>
      <c r="AU172" s="5">
        <f t="shared" si="304"/>
        <v>3.2611778186519329</v>
      </c>
      <c r="AV172" s="5"/>
      <c r="AW172" s="153">
        <f t="shared" si="305"/>
        <v>0.69304229195088685</v>
      </c>
      <c r="AX172" s="153">
        <f t="shared" si="259"/>
        <v>1.377777777777778</v>
      </c>
      <c r="AY172" s="153">
        <f t="shared" si="260"/>
        <v>6.780402449693787E-2</v>
      </c>
      <c r="AZ172" s="153">
        <f t="shared" si="264"/>
        <v>20.320000000000007</v>
      </c>
      <c r="BA172" s="147">
        <f t="shared" si="294"/>
        <v>7.5578700647486725</v>
      </c>
      <c r="BB172" s="147">
        <f t="shared" si="295"/>
        <v>22.11219023703703</v>
      </c>
      <c r="BC172" s="5">
        <f t="shared" si="258"/>
        <v>0.49924203643560455</v>
      </c>
      <c r="BD172" s="147">
        <f t="shared" si="296"/>
        <v>50.383462902819709</v>
      </c>
      <c r="BF172" s="153">
        <f t="shared" si="265"/>
        <v>0.21233723890046532</v>
      </c>
      <c r="BG172" s="153">
        <f t="shared" si="261"/>
        <v>0.14131412334732926</v>
      </c>
      <c r="BI172" s="463">
        <f t="shared" si="306"/>
        <v>1.5780486058355647E-2</v>
      </c>
      <c r="BJ172" s="463">
        <f t="shared" si="307"/>
        <v>6.0959999999999999E-3</v>
      </c>
      <c r="BK172" s="463">
        <f t="shared" si="308"/>
        <v>1.176559992732931E-3</v>
      </c>
      <c r="BL172" s="463">
        <f t="shared" si="309"/>
        <v>4.0457775483870974E-3</v>
      </c>
      <c r="BM172">
        <f t="shared" si="310"/>
        <v>2.6099999999999999E-3</v>
      </c>
      <c r="BN172">
        <f t="shared" si="297"/>
        <v>9.4124799418634494E-7</v>
      </c>
      <c r="BO172" s="463">
        <f t="shared" si="298"/>
        <v>3.1933103686441033E-2</v>
      </c>
      <c r="BP172" s="147">
        <f t="shared" si="311"/>
        <v>29.708823599475675</v>
      </c>
      <c r="BQ172" s="463">
        <f t="shared" si="299"/>
        <v>3.894083663347208E-2</v>
      </c>
      <c r="BT172" s="147">
        <f t="shared" si="312"/>
        <v>38.940836633472081</v>
      </c>
      <c r="BU172" s="463">
        <f t="shared" si="313"/>
        <v>3.606968241909863E-2</v>
      </c>
      <c r="BV172" s="463">
        <f t="shared" si="314"/>
        <v>1.5895866440109655E-2</v>
      </c>
      <c r="BW172" s="463">
        <f t="shared" si="315"/>
        <v>0</v>
      </c>
      <c r="BX172" s="463"/>
      <c r="BY172" s="463">
        <f t="shared" si="316"/>
        <v>2.7555555555555562E-2</v>
      </c>
      <c r="BZ172" s="147">
        <f t="shared" si="317"/>
        <v>79.52110441476384</v>
      </c>
      <c r="CA172" s="153">
        <f t="shared" si="318"/>
        <v>0.14817076464771159</v>
      </c>
      <c r="CB172" s="5">
        <f t="shared" si="319"/>
        <v>1.24</v>
      </c>
      <c r="CC172" s="153">
        <f t="shared" si="320"/>
        <v>0.89326186055696533</v>
      </c>
      <c r="CD172" s="5">
        <f t="shared" si="321"/>
        <v>89.326186055696539</v>
      </c>
      <c r="CG172" s="59">
        <f t="shared" si="300"/>
        <v>-50</v>
      </c>
      <c r="CH172">
        <f t="shared" si="301"/>
        <v>-50</v>
      </c>
    </row>
    <row r="173" spans="5:86" x14ac:dyDescent="0.25">
      <c r="E173" s="150">
        <v>63</v>
      </c>
      <c r="F173" s="191">
        <f t="shared" si="302"/>
        <v>6.3E-2</v>
      </c>
      <c r="G173" s="191"/>
      <c r="H173" s="191">
        <f t="shared" si="266"/>
        <v>1.26</v>
      </c>
      <c r="I173" s="472">
        <f t="shared" si="267"/>
        <v>9</v>
      </c>
      <c r="J173" s="386">
        <f t="shared" si="268"/>
        <v>20.32</v>
      </c>
      <c r="K173" s="386">
        <f t="shared" si="269"/>
        <v>29.32</v>
      </c>
      <c r="L173" s="386"/>
      <c r="M173" s="191">
        <f t="shared" si="270"/>
        <v>0.69304229195088674</v>
      </c>
      <c r="N173" s="152">
        <f t="shared" si="271"/>
        <v>2.1101682401091408</v>
      </c>
      <c r="O173" s="152">
        <f t="shared" si="262"/>
        <v>1.26</v>
      </c>
      <c r="P173" s="191">
        <f t="shared" si="272"/>
        <v>0.10550841200545705</v>
      </c>
      <c r="Q173" s="191">
        <f t="shared" si="273"/>
        <v>20</v>
      </c>
      <c r="R173" s="191"/>
      <c r="S173" s="152">
        <f t="shared" si="274"/>
        <v>39.287000133209489</v>
      </c>
      <c r="T173" s="152">
        <f t="shared" si="275"/>
        <v>20</v>
      </c>
      <c r="U173" s="191">
        <f t="shared" si="276"/>
        <v>0.44890638670166233</v>
      </c>
      <c r="V173" s="191">
        <f t="shared" si="277"/>
        <v>7.4817731116943706</v>
      </c>
      <c r="W173" s="191">
        <f t="shared" si="278"/>
        <v>3.3137774608882551</v>
      </c>
      <c r="X173" s="175">
        <f t="shared" si="279"/>
        <v>277.21691678035478</v>
      </c>
      <c r="Y173" s="386">
        <f t="shared" si="303"/>
        <v>92.630754983418086</v>
      </c>
      <c r="AA173" s="191">
        <f t="shared" si="280"/>
        <v>0.14999999999999997</v>
      </c>
      <c r="AB173" s="153">
        <f t="shared" si="281"/>
        <v>1.1072834645669287</v>
      </c>
      <c r="AC173" s="153">
        <f t="shared" si="282"/>
        <v>2.3021828103683487E-2</v>
      </c>
      <c r="AD173" s="153"/>
      <c r="AE173" s="153">
        <f t="shared" si="283"/>
        <v>1.1072834645669289</v>
      </c>
      <c r="AF173" s="317">
        <f t="shared" si="284"/>
        <v>758.61333333333334</v>
      </c>
      <c r="AG173" s="463">
        <f t="shared" si="285"/>
        <v>2.3021828103683497E-2</v>
      </c>
      <c r="AI173" s="153">
        <f t="shared" si="286"/>
        <v>0.22083477986947619</v>
      </c>
      <c r="AJ173" s="153">
        <f t="shared" si="287"/>
        <v>0.44890638670166233</v>
      </c>
      <c r="AK173" s="153">
        <f t="shared" si="288"/>
        <v>1.3992709244677748</v>
      </c>
      <c r="AM173" s="317">
        <f t="shared" si="289"/>
        <v>63</v>
      </c>
      <c r="AN173" s="147">
        <f t="shared" si="290"/>
        <v>92.630754983418086</v>
      </c>
      <c r="AP173">
        <f t="shared" si="291"/>
        <v>63</v>
      </c>
      <c r="AQ173">
        <f t="shared" si="292"/>
        <v>92.630754983418086</v>
      </c>
      <c r="AS173" s="5">
        <f t="shared" si="263"/>
        <v>10.795550572582625</v>
      </c>
      <c r="AT173" s="5">
        <f t="shared" si="293"/>
        <v>7.4817731116943706</v>
      </c>
      <c r="AU173" s="5">
        <f t="shared" si="304"/>
        <v>3.3137774608882546</v>
      </c>
      <c r="AV173" s="5"/>
      <c r="AW173" s="153">
        <f t="shared" si="305"/>
        <v>0.69304229195088674</v>
      </c>
      <c r="AX173" s="153">
        <f t="shared" si="259"/>
        <v>1.4000000000000004</v>
      </c>
      <c r="AY173" s="153">
        <f t="shared" si="260"/>
        <v>6.8897637795275607E-2</v>
      </c>
      <c r="AZ173" s="153">
        <f t="shared" si="264"/>
        <v>20.32</v>
      </c>
      <c r="BA173" s="147">
        <f t="shared" si="294"/>
        <v>7.5578700647486725</v>
      </c>
      <c r="BB173" s="147">
        <f t="shared" si="295"/>
        <v>22.828190699999993</v>
      </c>
      <c r="BC173" s="5">
        <f t="shared" si="258"/>
        <v>0.51547649391595074</v>
      </c>
      <c r="BD173" s="147">
        <f t="shared" si="296"/>
        <v>52.014316058261741</v>
      </c>
      <c r="BF173" s="153">
        <f t="shared" si="265"/>
        <v>0.21576203307627925</v>
      </c>
      <c r="BG173" s="153">
        <f t="shared" si="261"/>
        <v>0.14359338340131847</v>
      </c>
      <c r="BI173" s="463">
        <f t="shared" si="306"/>
        <v>1.6293639221023296E-2</v>
      </c>
      <c r="BJ173" s="463">
        <f t="shared" si="307"/>
        <v>6.0960000000000016E-3</v>
      </c>
      <c r="BK173" s="463">
        <f t="shared" si="308"/>
        <v>1.157884437292726E-3</v>
      </c>
      <c r="BL173" s="463">
        <f t="shared" si="309"/>
        <v>3.9815588571428581E-3</v>
      </c>
      <c r="BM173">
        <f t="shared" si="310"/>
        <v>2.6099999999999999E-3</v>
      </c>
      <c r="BN173">
        <f t="shared" si="297"/>
        <v>9.2630754983418091E-7</v>
      </c>
      <c r="BO173" s="463">
        <f t="shared" si="298"/>
        <v>3.2437161949759985E-2</v>
      </c>
      <c r="BP173" s="147">
        <f t="shared" si="311"/>
        <v>30.139082515458881</v>
      </c>
      <c r="BQ173" s="463">
        <f t="shared" si="299"/>
        <v>3.9818961654071464E-2</v>
      </c>
      <c r="BT173" s="147">
        <f t="shared" si="312"/>
        <v>39.818961654071465</v>
      </c>
      <c r="BU173" s="463">
        <f t="shared" si="313"/>
        <v>3.7242603933767542E-2</v>
      </c>
      <c r="BV173" s="463">
        <f t="shared" si="314"/>
        <v>1.6412771566283884E-2</v>
      </c>
      <c r="BW173" s="463">
        <f t="shared" si="315"/>
        <v>0</v>
      </c>
      <c r="BX173" s="463"/>
      <c r="BY173" s="463">
        <f t="shared" si="316"/>
        <v>2.8000000000000014E-2</v>
      </c>
      <c r="BZ173" s="147">
        <f t="shared" si="317"/>
        <v>81.655375500051434</v>
      </c>
      <c r="CA173" s="153">
        <f t="shared" si="318"/>
        <v>0.15161341966958178</v>
      </c>
      <c r="CB173" s="5">
        <f t="shared" si="319"/>
        <v>1.26</v>
      </c>
      <c r="CC173" s="153">
        <f t="shared" si="320"/>
        <v>0.89259565150275344</v>
      </c>
      <c r="CD173" s="5">
        <f t="shared" si="321"/>
        <v>89.25956515027535</v>
      </c>
      <c r="CG173" s="59">
        <f t="shared" si="300"/>
        <v>-50</v>
      </c>
      <c r="CH173">
        <f t="shared" si="301"/>
        <v>-50</v>
      </c>
    </row>
    <row r="174" spans="5:86" x14ac:dyDescent="0.25">
      <c r="E174" s="150">
        <v>64</v>
      </c>
      <c r="F174" s="191">
        <f t="shared" si="302"/>
        <v>6.4000000000000001E-2</v>
      </c>
      <c r="G174" s="191"/>
      <c r="H174" s="191">
        <f t="shared" ref="H174:H205" si="322">F174*Vout</f>
        <v>1.28</v>
      </c>
      <c r="I174" s="472">
        <f t="shared" ref="I174:I212" si="323">VIN_min</f>
        <v>9</v>
      </c>
      <c r="J174" s="386">
        <f t="shared" ref="J174:J210" si="324">(T174+Vfwd1)*Nps</f>
        <v>20.32</v>
      </c>
      <c r="K174" s="386">
        <f t="shared" ref="K174:K210" si="325">(Vout+Vfwd1)*Nps+I174</f>
        <v>29.32</v>
      </c>
      <c r="L174" s="386"/>
      <c r="M174" s="191">
        <f t="shared" ref="M174:M210" si="326">(Vout+Vfwd1)*Nps/((Vout+Vfwd1)*Nps+I174)</f>
        <v>0.69304229195088674</v>
      </c>
      <c r="N174" s="152">
        <f t="shared" ref="N174:N205" si="327">M174*I174*(Isw_max+VIN_min/Lmag*ILIM_delay)*0.5*Efficiency</f>
        <v>2.1101682401091408</v>
      </c>
      <c r="O174" s="152">
        <f t="shared" si="262"/>
        <v>1.28</v>
      </c>
      <c r="P174" s="191">
        <f t="shared" ref="P174:P205" si="328">N174/Vout</f>
        <v>0.10550841200545705</v>
      </c>
      <c r="Q174" s="191">
        <f t="shared" ref="Q174:Q210" si="329">MIN(Vout,N174/F174)</f>
        <v>20</v>
      </c>
      <c r="R174" s="191"/>
      <c r="S174" s="152">
        <f t="shared" ref="S174:S210" si="330">(SQRT(Isw_max^2*Nps^2*I174^2+4*Isw_max*F174/Efficiency*(Nps^2*Vfwd1*I174-Nps*I174^2)+4*(F174/Efficiency)^2*Nps^2*Vfwd1^2+8*(F174/Efficiency)^2*Nps*Vfwd1*I174+4*(F174/Efficiency)^2*I174^2)-2*F174/Efficiency*I174-2*F174/Efficiency*Nps*Vfwd1+Isw_max*Nps*I174)/(4*F174/Efficiency*Nps)</f>
        <v>38.535059121870823</v>
      </c>
      <c r="T174" s="152">
        <f t="shared" ref="T174:T205" si="331">MIN(Vout, S174)</f>
        <v>20</v>
      </c>
      <c r="U174" s="191">
        <f t="shared" ref="U174:U210" si="332">MIN(2*Vout*F174/(Efficiency*I174*M174), Isw_max)</f>
        <v>0.45603188490327601</v>
      </c>
      <c r="V174" s="191">
        <f t="shared" ref="V174:V205" si="333">L*U174/I174*1000000</f>
        <v>7.6005314150545988</v>
      </c>
      <c r="W174" s="191">
        <f t="shared" ref="W174:W210" si="334">L*U174/J174*1000000</f>
        <v>3.3663771031245764</v>
      </c>
      <c r="X174" s="175">
        <f t="shared" ref="X174:X210" si="335">IF(1/((350000*L)*(1/I174+1/J174))&gt;Isw_min, 350, 0.001/((Isw_min*L)*(1/I174+1/J174)))</f>
        <v>277.21691678035478</v>
      </c>
      <c r="Y174" s="386">
        <f t="shared" si="303"/>
        <v>91.183399436802191</v>
      </c>
      <c r="AA174" s="191">
        <f t="shared" ref="AA174:AA210" si="336">1/((X174*1000*L)*(1/I174+1/J174))</f>
        <v>0.14999999999999997</v>
      </c>
      <c r="AB174" s="153">
        <f t="shared" ref="AB174:AB205" si="337">L*AA174/J174*1000000</f>
        <v>1.1072834645669287</v>
      </c>
      <c r="AC174" s="153">
        <f t="shared" ref="AC174:AC205" si="338">0.5*AB174*AA174*Nps*X174/1000</f>
        <v>2.3021828103683487E-2</v>
      </c>
      <c r="AD174" s="153"/>
      <c r="AE174" s="153">
        <f t="shared" ref="AE174:AE210" si="339">L*Isw_min/J174*1000000</f>
        <v>1.1072834645669289</v>
      </c>
      <c r="AF174" s="317">
        <f t="shared" ref="AF174:AF205" si="340">MAX(12000,F174/(0.5*AE174/1000000*Isw_min*Nps))/1000</f>
        <v>770.65481481481481</v>
      </c>
      <c r="AG174" s="463">
        <f t="shared" ref="AG174:AG210" si="341">0.5*AE174/1000000*Isw_min*Nps*X174*1000</f>
        <v>2.3021828103683497E-2</v>
      </c>
      <c r="AI174" s="153">
        <f t="shared" ref="AI174:AI210" si="342">SQRT(F174/(0.5*L/J174*Fsw_DCM*Nps))</f>
        <v>0.22258053652126739</v>
      </c>
      <c r="AJ174" s="153">
        <f t="shared" ref="AJ174:AJ205" si="343">MAX(IF(F174&gt;AC174,U174,AI174),Isw_min)</f>
        <v>0.45603188490327601</v>
      </c>
      <c r="AK174" s="153">
        <f t="shared" ref="AK174:AK205" si="344">IF(F174&gt;AG174, (AJ174-Isw_min)/1.2*0.8+1.2, AF174*0.2/350+1)</f>
        <v>1.4040212566021841</v>
      </c>
      <c r="AM174" s="317">
        <f t="shared" ref="AM174:AM210" si="345">F174*1000</f>
        <v>64</v>
      </c>
      <c r="AN174" s="147">
        <f t="shared" ref="AN174:AN210" si="346">IF(F174&gt;AG174, Y174, AF174)</f>
        <v>91.183399436802191</v>
      </c>
      <c r="AP174">
        <f t="shared" ref="AP174:AP210" si="347">IF(H174&gt;N174, "",AM174)</f>
        <v>64</v>
      </c>
      <c r="AQ174">
        <f t="shared" ref="AQ174:AQ210" si="348">IF(H174&gt;N174, "",AN174)</f>
        <v>91.183399436802191</v>
      </c>
      <c r="AS174" s="5">
        <f t="shared" si="263"/>
        <v>10.966908518179174</v>
      </c>
      <c r="AT174" s="5">
        <f t="shared" ref="AT174:AT210" si="349">L*AJ174/I174*1000000</f>
        <v>7.6005314150545988</v>
      </c>
      <c r="AU174" s="5">
        <f t="shared" si="304"/>
        <v>3.3663771031245755</v>
      </c>
      <c r="AV174" s="5"/>
      <c r="AW174" s="153">
        <f t="shared" si="305"/>
        <v>0.69304229195088685</v>
      </c>
      <c r="AX174" s="153">
        <f t="shared" si="259"/>
        <v>1.4222222222222227</v>
      </c>
      <c r="AY174" s="153">
        <f t="shared" si="260"/>
        <v>6.9991251093613288E-2</v>
      </c>
      <c r="AZ174" s="153">
        <f t="shared" si="264"/>
        <v>20.320000000000011</v>
      </c>
      <c r="BA174" s="147">
        <f t="shared" ref="BA174:BA210" si="350">L*Isw_max^2/(2*Vout_ripple*Vout)*1000000000*((1+M174)/2)^2</f>
        <v>7.5578700647486725</v>
      </c>
      <c r="BB174" s="147">
        <f t="shared" ref="BB174:BB210" si="351">L*F174^2/(2*Cout*Vout*Nps^2)*1000000000*((1+M174)/(1-M174))^2+F174*RCoutEsr</f>
        <v>23.55559917037036</v>
      </c>
      <c r="BC174" s="5">
        <f t="shared" si="258"/>
        <v>0.53197070271598224</v>
      </c>
      <c r="BD174" s="147">
        <f t="shared" ref="BD174:BD210" si="352">((CB174/I174/Efficiency)*AU174/Cin+(CB174/I174/Efficiency)*RCinEsr)*1000</f>
        <v>53.671144345672296</v>
      </c>
      <c r="BF174" s="153">
        <f t="shared" si="265"/>
        <v>0.21918682725209324</v>
      </c>
      <c r="BG174" s="153">
        <f t="shared" si="261"/>
        <v>0.14587264345530762</v>
      </c>
      <c r="BI174" s="463">
        <f t="shared" si="306"/>
        <v>1.6815002834293637E-2</v>
      </c>
      <c r="BJ174" s="463">
        <f t="shared" si="307"/>
        <v>6.0960000000000016E-3</v>
      </c>
      <c r="BK174" s="463">
        <f t="shared" si="308"/>
        <v>1.1397924929600273E-3</v>
      </c>
      <c r="BL174" s="463">
        <f t="shared" si="309"/>
        <v>3.9193470000000018E-3</v>
      </c>
      <c r="BM174">
        <f t="shared" si="310"/>
        <v>2.6099999999999999E-3</v>
      </c>
      <c r="BN174">
        <f t="shared" ref="BN174:BN210" si="353">(I174-Vdd)*Qg*AN174</f>
        <v>9.1183399436802191E-7</v>
      </c>
      <c r="BO174" s="463">
        <f t="shared" ref="BO174:BO205" si="354">(BJ174+BK174+BL174+BM174+BN174+BI174*(1+RdsonTC*(Ta-25)))/(1-BI174*RdsonTC*ThetaJA)</f>
        <v>3.2953312847906535E-2</v>
      </c>
      <c r="BP174" s="147">
        <f t="shared" si="311"/>
        <v>30.580142327253665</v>
      </c>
      <c r="BQ174" s="463">
        <f t="shared" ref="BQ174:BQ210" si="355">(Vfwd2*F174+BG174^2*Rdiode)*(1+Diode_TC/1000*(Ta-25))</f>
        <v>4.070502467500043E-2</v>
      </c>
      <c r="BT174" s="147">
        <f t="shared" si="312"/>
        <v>40.705024675000431</v>
      </c>
      <c r="BU174" s="463">
        <f t="shared" si="313"/>
        <v>3.8434292192671173E-2</v>
      </c>
      <c r="BV174" s="463">
        <f t="shared" si="314"/>
        <v>1.6937947174476886E-2</v>
      </c>
      <c r="BW174" s="463">
        <f t="shared" si="315"/>
        <v>0</v>
      </c>
      <c r="BX174" s="463"/>
      <c r="BY174" s="463">
        <f t="shared" si="316"/>
        <v>2.8444444444444453E-2</v>
      </c>
      <c r="BZ174" s="147">
        <f t="shared" si="317"/>
        <v>83.816683811592512</v>
      </c>
      <c r="CA174" s="153">
        <f t="shared" si="318"/>
        <v>0.15510185081384659</v>
      </c>
      <c r="CB174" s="5">
        <f t="shared" si="319"/>
        <v>1.28</v>
      </c>
      <c r="CC174" s="153">
        <f t="shared" si="320"/>
        <v>0.89192275745035909</v>
      </c>
      <c r="CD174" s="5">
        <f t="shared" si="321"/>
        <v>89.192275745035914</v>
      </c>
      <c r="CG174" s="59">
        <f t="shared" ref="CG174:CG210" si="356">IF(ABS(F174-Ioutmax_Vinmin)&lt;Iout/200, AN174, -50)</f>
        <v>-50</v>
      </c>
      <c r="CH174">
        <f t="shared" ref="CH174:CH210" si="357">IF(ABS(F174-Ioutmax_Vinmin)&lt;Iout/200, N174*CC174, -50)</f>
        <v>-50</v>
      </c>
    </row>
    <row r="175" spans="5:86" x14ac:dyDescent="0.25">
      <c r="E175" s="150">
        <v>65</v>
      </c>
      <c r="F175" s="191">
        <f t="shared" ref="F175:F206" si="358">IF(PLOT_TYPE=1, E175/100*Iout_max, min_I*EXP(N175*rr/100))</f>
        <v>6.5000000000000002E-2</v>
      </c>
      <c r="G175" s="191"/>
      <c r="H175" s="191">
        <f t="shared" si="322"/>
        <v>1.3</v>
      </c>
      <c r="I175" s="472">
        <f t="shared" si="323"/>
        <v>9</v>
      </c>
      <c r="J175" s="386">
        <f t="shared" si="324"/>
        <v>20.32</v>
      </c>
      <c r="K175" s="386">
        <f t="shared" si="325"/>
        <v>29.32</v>
      </c>
      <c r="L175" s="386"/>
      <c r="M175" s="191">
        <f t="shared" si="326"/>
        <v>0.69304229195088674</v>
      </c>
      <c r="N175" s="152">
        <f t="shared" si="327"/>
        <v>2.1101682401091408</v>
      </c>
      <c r="O175" s="152">
        <f t="shared" si="262"/>
        <v>1.3</v>
      </c>
      <c r="P175" s="191">
        <f t="shared" si="328"/>
        <v>0.10550841200545705</v>
      </c>
      <c r="Q175" s="191">
        <f t="shared" si="329"/>
        <v>20</v>
      </c>
      <c r="R175" s="191"/>
      <c r="S175" s="152">
        <f t="shared" si="330"/>
        <v>37.806307623535645</v>
      </c>
      <c r="T175" s="152">
        <f t="shared" si="331"/>
        <v>20</v>
      </c>
      <c r="U175" s="191">
        <f t="shared" si="332"/>
        <v>0.46315738310488974</v>
      </c>
      <c r="V175" s="191">
        <f t="shared" si="333"/>
        <v>7.7192897184148288</v>
      </c>
      <c r="W175" s="191">
        <f t="shared" si="334"/>
        <v>3.4189767453608981</v>
      </c>
      <c r="X175" s="175">
        <f t="shared" si="335"/>
        <v>277.21691678035478</v>
      </c>
      <c r="Y175" s="386">
        <f t="shared" si="303"/>
        <v>89.78057790700521</v>
      </c>
      <c r="AA175" s="191">
        <f t="shared" si="336"/>
        <v>0.14999999999999997</v>
      </c>
      <c r="AB175" s="153">
        <f t="shared" si="337"/>
        <v>1.1072834645669287</v>
      </c>
      <c r="AC175" s="153">
        <f t="shared" si="338"/>
        <v>2.3021828103683487E-2</v>
      </c>
      <c r="AD175" s="153"/>
      <c r="AE175" s="153">
        <f t="shared" si="339"/>
        <v>1.1072834645669289</v>
      </c>
      <c r="AF175" s="317">
        <f t="shared" si="340"/>
        <v>782.6962962962964</v>
      </c>
      <c r="AG175" s="463">
        <f t="shared" si="341"/>
        <v>2.3021828103683497E-2</v>
      </c>
      <c r="AI175" s="153">
        <f t="shared" si="342"/>
        <v>0.22431270689862953</v>
      </c>
      <c r="AJ175" s="153">
        <f t="shared" si="343"/>
        <v>0.46315738310488974</v>
      </c>
      <c r="AK175" s="153">
        <f t="shared" si="344"/>
        <v>1.408771588736593</v>
      </c>
      <c r="AM175" s="317">
        <f t="shared" si="345"/>
        <v>65</v>
      </c>
      <c r="AN175" s="147">
        <f t="shared" si="346"/>
        <v>89.78057790700521</v>
      </c>
      <c r="AP175">
        <f t="shared" si="347"/>
        <v>65</v>
      </c>
      <c r="AQ175">
        <f t="shared" si="348"/>
        <v>89.78057790700521</v>
      </c>
      <c r="AS175" s="5">
        <f t="shared" si="263"/>
        <v>11.138266463775727</v>
      </c>
      <c r="AT175" s="5">
        <f t="shared" si="349"/>
        <v>7.7192897184148288</v>
      </c>
      <c r="AU175" s="5">
        <f t="shared" si="304"/>
        <v>3.4189767453608981</v>
      </c>
      <c r="AV175" s="5"/>
      <c r="AW175" s="153">
        <f t="shared" si="305"/>
        <v>0.69304229195088685</v>
      </c>
      <c r="AX175" s="153">
        <f t="shared" si="259"/>
        <v>1.4444444444444449</v>
      </c>
      <c r="AY175" s="153">
        <f t="shared" si="260"/>
        <v>7.1084864391950997E-2</v>
      </c>
      <c r="AZ175" s="153">
        <f t="shared" si="264"/>
        <v>20.320000000000007</v>
      </c>
      <c r="BA175" s="147">
        <f t="shared" si="350"/>
        <v>7.5578700647486725</v>
      </c>
      <c r="BB175" s="147">
        <f t="shared" si="351"/>
        <v>24.294415648148142</v>
      </c>
      <c r="BC175" s="5">
        <f t="shared" si="258"/>
        <v>0.54872466283569965</v>
      </c>
      <c r="BD175" s="147">
        <f t="shared" si="352"/>
        <v>55.353947765051451</v>
      </c>
      <c r="BF175" s="153">
        <f t="shared" si="265"/>
        <v>0.22261162142790722</v>
      </c>
      <c r="BG175" s="153">
        <f t="shared" si="261"/>
        <v>0.1481519035092968</v>
      </c>
      <c r="BI175" s="463">
        <f t="shared" si="306"/>
        <v>1.7344576898166656E-2</v>
      </c>
      <c r="BJ175" s="463">
        <f t="shared" si="307"/>
        <v>6.0960000000000016E-3</v>
      </c>
      <c r="BK175" s="463">
        <f t="shared" si="308"/>
        <v>1.122257223837565E-3</v>
      </c>
      <c r="BL175" s="463">
        <f t="shared" si="309"/>
        <v>3.859049353846154E-3</v>
      </c>
      <c r="BM175">
        <f t="shared" si="310"/>
        <v>2.6099999999999999E-3</v>
      </c>
      <c r="BN175">
        <f t="shared" si="353"/>
        <v>8.9780577907005206E-7</v>
      </c>
      <c r="BO175" s="463">
        <f t="shared" si="354"/>
        <v>3.3481442270429269E-2</v>
      </c>
      <c r="BP175" s="147">
        <f t="shared" si="311"/>
        <v>31.031883475850375</v>
      </c>
      <c r="BQ175" s="463">
        <f t="shared" si="355"/>
        <v>4.1599025696258986E-2</v>
      </c>
      <c r="BT175" s="147">
        <f t="shared" si="312"/>
        <v>41.599025696258984</v>
      </c>
      <c r="BU175" s="463">
        <f t="shared" si="313"/>
        <v>3.9644747195809509E-2</v>
      </c>
      <c r="BV175" s="463">
        <f t="shared" si="314"/>
        <v>1.7471393264688682E-2</v>
      </c>
      <c r="BW175" s="463">
        <f t="shared" si="315"/>
        <v>0</v>
      </c>
      <c r="BX175" s="463"/>
      <c r="BY175" s="463">
        <f t="shared" si="316"/>
        <v>2.8888888888888898E-2</v>
      </c>
      <c r="BZ175" s="147">
        <f t="shared" si="317"/>
        <v>86.005029349387087</v>
      </c>
      <c r="CA175" s="153">
        <f t="shared" si="318"/>
        <v>0.15863593852149646</v>
      </c>
      <c r="CB175" s="5">
        <f t="shared" si="319"/>
        <v>1.3</v>
      </c>
      <c r="CC175" s="153">
        <f t="shared" si="320"/>
        <v>0.89124363774946269</v>
      </c>
      <c r="CD175" s="5">
        <f t="shared" si="321"/>
        <v>89.124363774946275</v>
      </c>
      <c r="CG175" s="59">
        <f t="shared" si="356"/>
        <v>-50</v>
      </c>
      <c r="CH175">
        <f t="shared" si="357"/>
        <v>-50</v>
      </c>
    </row>
    <row r="176" spans="5:86" x14ac:dyDescent="0.25">
      <c r="E176" s="150">
        <v>66</v>
      </c>
      <c r="F176" s="191">
        <f t="shared" si="358"/>
        <v>6.6000000000000003E-2</v>
      </c>
      <c r="G176" s="191"/>
      <c r="H176" s="191">
        <f t="shared" si="322"/>
        <v>1.32</v>
      </c>
      <c r="I176" s="472">
        <f t="shared" si="323"/>
        <v>9</v>
      </c>
      <c r="J176" s="386">
        <f t="shared" si="324"/>
        <v>20.32</v>
      </c>
      <c r="K176" s="386">
        <f t="shared" si="325"/>
        <v>29.32</v>
      </c>
      <c r="L176" s="386"/>
      <c r="M176" s="191">
        <f t="shared" si="326"/>
        <v>0.69304229195088674</v>
      </c>
      <c r="N176" s="152">
        <f t="shared" si="327"/>
        <v>2.1101682401091408</v>
      </c>
      <c r="O176" s="152">
        <f t="shared" si="262"/>
        <v>1.32</v>
      </c>
      <c r="P176" s="191">
        <f t="shared" si="328"/>
        <v>0.10550841200545705</v>
      </c>
      <c r="Q176" s="191">
        <f t="shared" si="329"/>
        <v>20</v>
      </c>
      <c r="R176" s="191"/>
      <c r="S176" s="152">
        <f t="shared" si="330"/>
        <v>37.099692096290994</v>
      </c>
      <c r="T176" s="152">
        <f t="shared" si="331"/>
        <v>20</v>
      </c>
      <c r="U176" s="191">
        <f t="shared" si="332"/>
        <v>0.47028288130650342</v>
      </c>
      <c r="V176" s="191">
        <f t="shared" si="333"/>
        <v>7.8380480217750552</v>
      </c>
      <c r="W176" s="191">
        <f t="shared" si="334"/>
        <v>3.4715763875972194</v>
      </c>
      <c r="X176" s="175">
        <f t="shared" si="335"/>
        <v>277.21691678035478</v>
      </c>
      <c r="Y176" s="386">
        <f t="shared" si="303"/>
        <v>88.420266120535445</v>
      </c>
      <c r="AA176" s="191">
        <f t="shared" si="336"/>
        <v>0.14999999999999997</v>
      </c>
      <c r="AB176" s="153">
        <f t="shared" si="337"/>
        <v>1.1072834645669287</v>
      </c>
      <c r="AC176" s="153">
        <f t="shared" si="338"/>
        <v>2.3021828103683487E-2</v>
      </c>
      <c r="AD176" s="153"/>
      <c r="AE176" s="153">
        <f t="shared" si="339"/>
        <v>1.1072834645669289</v>
      </c>
      <c r="AF176" s="317">
        <f t="shared" si="340"/>
        <v>794.73777777777786</v>
      </c>
      <c r="AG176" s="463">
        <f t="shared" si="341"/>
        <v>2.3021828103683497E-2</v>
      </c>
      <c r="AI176" s="153">
        <f t="shared" si="342"/>
        <v>0.22603160335290667</v>
      </c>
      <c r="AJ176" s="153">
        <f t="shared" si="343"/>
        <v>0.47028288130650342</v>
      </c>
      <c r="AK176" s="153">
        <f t="shared" si="344"/>
        <v>1.4135219208710024</v>
      </c>
      <c r="AM176" s="317">
        <f t="shared" si="345"/>
        <v>66</v>
      </c>
      <c r="AN176" s="147">
        <f t="shared" si="346"/>
        <v>88.420266120535445</v>
      </c>
      <c r="AP176">
        <f t="shared" si="347"/>
        <v>66</v>
      </c>
      <c r="AQ176">
        <f t="shared" si="348"/>
        <v>88.420266120535445</v>
      </c>
      <c r="AS176" s="5">
        <f t="shared" si="263"/>
        <v>11.309624409372274</v>
      </c>
      <c r="AT176" s="5">
        <f t="shared" si="349"/>
        <v>7.8380480217750552</v>
      </c>
      <c r="AU176" s="5">
        <f t="shared" si="304"/>
        <v>3.471576387597219</v>
      </c>
      <c r="AV176" s="5"/>
      <c r="AW176" s="153">
        <f t="shared" si="305"/>
        <v>0.69304229195088674</v>
      </c>
      <c r="AX176" s="153">
        <f t="shared" si="259"/>
        <v>1.466666666666667</v>
      </c>
      <c r="AY176" s="153">
        <f t="shared" si="260"/>
        <v>7.2178477690288734E-2</v>
      </c>
      <c r="AZ176" s="153">
        <f t="shared" si="264"/>
        <v>20.32</v>
      </c>
      <c r="BA176" s="147">
        <f t="shared" si="350"/>
        <v>7.5578700647486725</v>
      </c>
      <c r="BB176" s="147">
        <f t="shared" si="351"/>
        <v>25.044640133333335</v>
      </c>
      <c r="BC176" s="5">
        <f t="shared" si="258"/>
        <v>0.56573837427510243</v>
      </c>
      <c r="BD176" s="147">
        <f t="shared" si="352"/>
        <v>57.062726316399115</v>
      </c>
      <c r="BF176" s="153">
        <f t="shared" si="265"/>
        <v>0.22603641560372115</v>
      </c>
      <c r="BG176" s="153">
        <f t="shared" si="261"/>
        <v>0.15043116356328601</v>
      </c>
      <c r="BI176" s="463">
        <f t="shared" si="306"/>
        <v>1.788236141264235E-2</v>
      </c>
      <c r="BJ176" s="463">
        <f t="shared" si="307"/>
        <v>6.0960000000000016E-3</v>
      </c>
      <c r="BK176" s="463">
        <f t="shared" si="308"/>
        <v>1.1052533265066928E-3</v>
      </c>
      <c r="BL176" s="463">
        <f t="shared" si="309"/>
        <v>3.80057890909091E-3</v>
      </c>
      <c r="BM176">
        <f t="shared" si="310"/>
        <v>2.6099999999999999E-3</v>
      </c>
      <c r="BN176">
        <f t="shared" si="353"/>
        <v>8.8420266120535452E-7</v>
      </c>
      <c r="BO176" s="463">
        <f t="shared" si="354"/>
        <v>3.4021443443008281E-2</v>
      </c>
      <c r="BP176" s="147">
        <f t="shared" si="311"/>
        <v>31.49419364823995</v>
      </c>
      <c r="BQ176" s="463">
        <f t="shared" si="355"/>
        <v>4.2500964717847145E-2</v>
      </c>
      <c r="BT176" s="147">
        <f t="shared" si="312"/>
        <v>42.500964717847147</v>
      </c>
      <c r="BU176" s="463">
        <f t="shared" si="313"/>
        <v>4.0873968943182522E-2</v>
      </c>
      <c r="BV176" s="463">
        <f t="shared" si="314"/>
        <v>1.8013109836919269E-2</v>
      </c>
      <c r="BW176" s="463">
        <f t="shared" si="315"/>
        <v>0</v>
      </c>
      <c r="BX176" s="463"/>
      <c r="BY176" s="463">
        <f t="shared" si="316"/>
        <v>2.9333333333333347E-2</v>
      </c>
      <c r="BZ176" s="147">
        <f t="shared" si="317"/>
        <v>88.220412113435131</v>
      </c>
      <c r="CA176" s="153">
        <f t="shared" si="318"/>
        <v>0.16221557047952226</v>
      </c>
      <c r="CB176" s="5">
        <f t="shared" si="319"/>
        <v>1.32</v>
      </c>
      <c r="CC176" s="153">
        <f t="shared" si="320"/>
        <v>0.8905587191834432</v>
      </c>
      <c r="CD176" s="5">
        <f t="shared" si="321"/>
        <v>89.055871918344323</v>
      </c>
      <c r="CG176" s="59">
        <f t="shared" si="356"/>
        <v>-50</v>
      </c>
      <c r="CH176">
        <f t="shared" si="357"/>
        <v>-50</v>
      </c>
    </row>
    <row r="177" spans="5:86" x14ac:dyDescent="0.25">
      <c r="E177" s="150">
        <v>67</v>
      </c>
      <c r="F177" s="191">
        <f t="shared" si="358"/>
        <v>6.7000000000000004E-2</v>
      </c>
      <c r="G177" s="191"/>
      <c r="H177" s="191">
        <f t="shared" si="322"/>
        <v>1.34</v>
      </c>
      <c r="I177" s="472">
        <f t="shared" si="323"/>
        <v>9</v>
      </c>
      <c r="J177" s="386">
        <f t="shared" si="324"/>
        <v>20.32</v>
      </c>
      <c r="K177" s="386">
        <f t="shared" si="325"/>
        <v>29.32</v>
      </c>
      <c r="L177" s="386"/>
      <c r="M177" s="191">
        <f t="shared" si="326"/>
        <v>0.69304229195088674</v>
      </c>
      <c r="N177" s="152">
        <f t="shared" si="327"/>
        <v>2.1101682401091408</v>
      </c>
      <c r="O177" s="152">
        <f t="shared" si="262"/>
        <v>1.34</v>
      </c>
      <c r="P177" s="191">
        <f t="shared" si="328"/>
        <v>0.10550841200545705</v>
      </c>
      <c r="Q177" s="191">
        <f t="shared" si="329"/>
        <v>20</v>
      </c>
      <c r="R177" s="191"/>
      <c r="S177" s="152">
        <f t="shared" si="330"/>
        <v>36.414221902834257</v>
      </c>
      <c r="T177" s="152">
        <f t="shared" si="331"/>
        <v>20</v>
      </c>
      <c r="U177" s="191">
        <f t="shared" si="332"/>
        <v>0.4774083795081171</v>
      </c>
      <c r="V177" s="191">
        <f t="shared" si="333"/>
        <v>7.9568063251352834</v>
      </c>
      <c r="W177" s="191">
        <f t="shared" si="334"/>
        <v>3.5241760298335407</v>
      </c>
      <c r="X177" s="175">
        <f t="shared" si="335"/>
        <v>277.21691678035478</v>
      </c>
      <c r="Y177" s="386">
        <f t="shared" si="303"/>
        <v>87.100560656049851</v>
      </c>
      <c r="AA177" s="191">
        <f t="shared" si="336"/>
        <v>0.14999999999999997</v>
      </c>
      <c r="AB177" s="153">
        <f t="shared" si="337"/>
        <v>1.1072834645669287</v>
      </c>
      <c r="AC177" s="153">
        <f t="shared" si="338"/>
        <v>2.3021828103683487E-2</v>
      </c>
      <c r="AD177" s="153"/>
      <c r="AE177" s="153">
        <f t="shared" si="339"/>
        <v>1.1072834645669289</v>
      </c>
      <c r="AF177" s="317">
        <f t="shared" si="340"/>
        <v>806.77925925925933</v>
      </c>
      <c r="AG177" s="463">
        <f t="shared" si="341"/>
        <v>2.3021828103683497E-2</v>
      </c>
      <c r="AI177" s="153">
        <f t="shared" si="342"/>
        <v>0.22773752644740164</v>
      </c>
      <c r="AJ177" s="153">
        <f t="shared" si="343"/>
        <v>0.4774083795081171</v>
      </c>
      <c r="AK177" s="153">
        <f t="shared" si="344"/>
        <v>1.4182722530054113</v>
      </c>
      <c r="AM177" s="317">
        <f t="shared" si="345"/>
        <v>67</v>
      </c>
      <c r="AN177" s="147">
        <f t="shared" si="346"/>
        <v>87.100560656049851</v>
      </c>
      <c r="AP177">
        <f t="shared" si="347"/>
        <v>67</v>
      </c>
      <c r="AQ177">
        <f t="shared" si="348"/>
        <v>87.100560656049851</v>
      </c>
      <c r="AS177" s="5">
        <f t="shared" si="263"/>
        <v>11.480982354968823</v>
      </c>
      <c r="AT177" s="5">
        <f t="shared" si="349"/>
        <v>7.9568063251352834</v>
      </c>
      <c r="AU177" s="5">
        <f t="shared" si="304"/>
        <v>3.5241760298335398</v>
      </c>
      <c r="AV177" s="5"/>
      <c r="AW177" s="153">
        <f t="shared" si="305"/>
        <v>0.69304229195088685</v>
      </c>
      <c r="AX177" s="153">
        <f t="shared" si="259"/>
        <v>1.4888888888888896</v>
      </c>
      <c r="AY177" s="153">
        <f t="shared" si="260"/>
        <v>7.3272090988626415E-2</v>
      </c>
      <c r="AZ177" s="153">
        <f t="shared" si="264"/>
        <v>20.320000000000011</v>
      </c>
      <c r="BA177" s="147">
        <f t="shared" si="350"/>
        <v>7.5578700647486725</v>
      </c>
      <c r="BB177" s="147">
        <f t="shared" si="351"/>
        <v>25.806272625925928</v>
      </c>
      <c r="BC177" s="5">
        <f t="shared" si="258"/>
        <v>0.58301183703419057</v>
      </c>
      <c r="BD177" s="147">
        <f t="shared" si="352"/>
        <v>58.79747999971535</v>
      </c>
      <c r="BF177" s="153">
        <f t="shared" si="265"/>
        <v>0.22946120977953513</v>
      </c>
      <c r="BG177" s="153">
        <f t="shared" si="261"/>
        <v>0.15271042361727516</v>
      </c>
      <c r="BI177" s="463">
        <f t="shared" si="306"/>
        <v>1.842835637772074E-2</v>
      </c>
      <c r="BJ177" s="463">
        <f t="shared" si="307"/>
        <v>6.0960000000000025E-3</v>
      </c>
      <c r="BK177" s="463">
        <f t="shared" si="308"/>
        <v>1.088757008200623E-3</v>
      </c>
      <c r="BL177" s="463">
        <f t="shared" si="309"/>
        <v>3.7438538507462704E-3</v>
      </c>
      <c r="BM177">
        <f t="shared" si="310"/>
        <v>2.6099999999999999E-3</v>
      </c>
      <c r="BN177">
        <f t="shared" si="353"/>
        <v>8.7100560656049855E-7</v>
      </c>
      <c r="BO177" s="463">
        <f t="shared" si="354"/>
        <v>3.4573216386739443E-2</v>
      </c>
      <c r="BP177" s="147">
        <f t="shared" si="311"/>
        <v>31.966967236667635</v>
      </c>
      <c r="BQ177" s="463">
        <f t="shared" si="355"/>
        <v>4.341084173976488E-2</v>
      </c>
      <c r="BT177" s="147">
        <f t="shared" si="312"/>
        <v>43.410841739764876</v>
      </c>
      <c r="BU177" s="463">
        <f t="shared" si="313"/>
        <v>4.2121957434790268E-2</v>
      </c>
      <c r="BV177" s="463">
        <f t="shared" si="314"/>
        <v>1.8563096891168637E-2</v>
      </c>
      <c r="BW177" s="463">
        <f t="shared" si="315"/>
        <v>0</v>
      </c>
      <c r="BX177" s="463"/>
      <c r="BY177" s="463">
        <f t="shared" si="316"/>
        <v>2.9777777777777792E-2</v>
      </c>
      <c r="BZ177" s="147">
        <f t="shared" si="317"/>
        <v>90.462832103736687</v>
      </c>
      <c r="CA177" s="153">
        <f t="shared" si="318"/>
        <v>0.16584064108016922</v>
      </c>
      <c r="CB177" s="5">
        <f t="shared" si="319"/>
        <v>1.34</v>
      </c>
      <c r="CC177" s="153">
        <f t="shared" si="320"/>
        <v>0.88986839871634205</v>
      </c>
      <c r="CD177" s="5">
        <f t="shared" si="321"/>
        <v>88.986839871634203</v>
      </c>
      <c r="CG177" s="59">
        <f t="shared" si="356"/>
        <v>-50</v>
      </c>
      <c r="CH177">
        <f t="shared" si="357"/>
        <v>-50</v>
      </c>
    </row>
    <row r="178" spans="5:86" x14ac:dyDescent="0.25">
      <c r="E178" s="150">
        <v>68</v>
      </c>
      <c r="F178" s="191">
        <f t="shared" si="358"/>
        <v>6.8000000000000005E-2</v>
      </c>
      <c r="G178" s="191"/>
      <c r="H178" s="191">
        <f t="shared" si="322"/>
        <v>1.36</v>
      </c>
      <c r="I178" s="472">
        <f t="shared" si="323"/>
        <v>9</v>
      </c>
      <c r="J178" s="386">
        <f t="shared" si="324"/>
        <v>20.32</v>
      </c>
      <c r="K178" s="386">
        <f t="shared" si="325"/>
        <v>29.32</v>
      </c>
      <c r="L178" s="386"/>
      <c r="M178" s="191">
        <f t="shared" si="326"/>
        <v>0.69304229195088674</v>
      </c>
      <c r="N178" s="152">
        <f t="shared" si="327"/>
        <v>2.1101682401091408</v>
      </c>
      <c r="O178" s="152">
        <f t="shared" si="262"/>
        <v>1.36</v>
      </c>
      <c r="P178" s="191">
        <f t="shared" si="328"/>
        <v>0.10550841200545705</v>
      </c>
      <c r="Q178" s="191">
        <f t="shared" si="329"/>
        <v>20</v>
      </c>
      <c r="R178" s="191"/>
      <c r="S178" s="152">
        <f t="shared" si="330"/>
        <v>35.748964685229545</v>
      </c>
      <c r="T178" s="152">
        <f t="shared" si="331"/>
        <v>20</v>
      </c>
      <c r="U178" s="191">
        <f t="shared" si="332"/>
        <v>0.48453387770973078</v>
      </c>
      <c r="V178" s="191">
        <f t="shared" si="333"/>
        <v>8.0755646284955116</v>
      </c>
      <c r="W178" s="191">
        <f t="shared" si="334"/>
        <v>3.5767756720698625</v>
      </c>
      <c r="X178" s="175">
        <f t="shared" si="335"/>
        <v>277.21691678035478</v>
      </c>
      <c r="Y178" s="386">
        <f t="shared" si="303"/>
        <v>85.81967005816675</v>
      </c>
      <c r="AA178" s="191">
        <f t="shared" si="336"/>
        <v>0.14999999999999997</v>
      </c>
      <c r="AB178" s="153">
        <f t="shared" si="337"/>
        <v>1.1072834645669287</v>
      </c>
      <c r="AC178" s="153">
        <f t="shared" si="338"/>
        <v>2.3021828103683487E-2</v>
      </c>
      <c r="AD178" s="153"/>
      <c r="AE178" s="153">
        <f t="shared" si="339"/>
        <v>1.1072834645669289</v>
      </c>
      <c r="AF178" s="317">
        <f t="shared" si="340"/>
        <v>818.82074074074092</v>
      </c>
      <c r="AG178" s="463">
        <f t="shared" si="341"/>
        <v>2.3021828103683497E-2</v>
      </c>
      <c r="AI178" s="153">
        <f t="shared" si="342"/>
        <v>0.22943076557095868</v>
      </c>
      <c r="AJ178" s="153">
        <f t="shared" si="343"/>
        <v>0.48453387770973078</v>
      </c>
      <c r="AK178" s="153">
        <f t="shared" si="344"/>
        <v>1.4230225851398206</v>
      </c>
      <c r="AM178" s="317">
        <f t="shared" si="345"/>
        <v>68</v>
      </c>
      <c r="AN178" s="147">
        <f t="shared" si="346"/>
        <v>85.81967005816675</v>
      </c>
      <c r="AP178">
        <f t="shared" si="347"/>
        <v>68</v>
      </c>
      <c r="AQ178">
        <f t="shared" si="348"/>
        <v>85.81967005816675</v>
      </c>
      <c r="AS178" s="5">
        <f t="shared" si="263"/>
        <v>11.652340300565374</v>
      </c>
      <c r="AT178" s="5">
        <f t="shared" si="349"/>
        <v>8.0755646284955116</v>
      </c>
      <c r="AU178" s="5">
        <f t="shared" si="304"/>
        <v>3.5767756720698625</v>
      </c>
      <c r="AV178" s="5"/>
      <c r="AW178" s="153">
        <f t="shared" si="305"/>
        <v>0.69304229195088674</v>
      </c>
      <c r="AX178" s="153">
        <f t="shared" si="259"/>
        <v>1.5111111111111113</v>
      </c>
      <c r="AY178" s="153">
        <f t="shared" si="260"/>
        <v>7.4365704286964138E-2</v>
      </c>
      <c r="AZ178" s="153">
        <f t="shared" si="264"/>
        <v>20.32</v>
      </c>
      <c r="BA178" s="147">
        <f t="shared" si="350"/>
        <v>7.5578700647486725</v>
      </c>
      <c r="BB178" s="147">
        <f t="shared" si="351"/>
        <v>26.579313125925925</v>
      </c>
      <c r="BC178" s="5">
        <f t="shared" si="258"/>
        <v>0.60054505111296452</v>
      </c>
      <c r="BD178" s="147">
        <f t="shared" si="352"/>
        <v>60.55820881500015</v>
      </c>
      <c r="BF178" s="153">
        <f t="shared" si="265"/>
        <v>0.23288600395534906</v>
      </c>
      <c r="BG178" s="153">
        <f t="shared" si="261"/>
        <v>0.15498968367126437</v>
      </c>
      <c r="BI178" s="463">
        <f t="shared" si="306"/>
        <v>1.8982561793401798E-2</v>
      </c>
      <c r="BJ178" s="463">
        <f t="shared" si="307"/>
        <v>6.0959999999999999E-3</v>
      </c>
      <c r="BK178" s="463">
        <f t="shared" si="308"/>
        <v>1.0727458757270843E-3</v>
      </c>
      <c r="BL178" s="463">
        <f t="shared" si="309"/>
        <v>3.6887971764705892E-3</v>
      </c>
      <c r="BM178">
        <f t="shared" si="310"/>
        <v>2.6099999999999999E-3</v>
      </c>
      <c r="BN178">
        <f t="shared" si="353"/>
        <v>8.5819670058166747E-7</v>
      </c>
      <c r="BO178" s="463">
        <f t="shared" si="354"/>
        <v>3.5136667425142203E-2</v>
      </c>
      <c r="BP178" s="147">
        <f t="shared" si="311"/>
        <v>32.450104845599476</v>
      </c>
      <c r="BQ178" s="463">
        <f t="shared" si="355"/>
        <v>4.4328656762012211E-2</v>
      </c>
      <c r="BT178" s="147">
        <f t="shared" si="312"/>
        <v>44.328656762012209</v>
      </c>
      <c r="BU178" s="463">
        <f t="shared" si="313"/>
        <v>4.3388712670632684E-2</v>
      </c>
      <c r="BV178" s="463">
        <f t="shared" si="314"/>
        <v>1.9121354427436801E-2</v>
      </c>
      <c r="BW178" s="463">
        <f t="shared" si="315"/>
        <v>0</v>
      </c>
      <c r="BX178" s="463"/>
      <c r="BY178" s="463">
        <f t="shared" si="316"/>
        <v>3.022222222222223E-2</v>
      </c>
      <c r="BZ178" s="147">
        <f t="shared" si="317"/>
        <v>92.732289320291713</v>
      </c>
      <c r="CA178" s="153">
        <f t="shared" si="318"/>
        <v>0.16951105092790339</v>
      </c>
      <c r="CB178" s="5">
        <f t="shared" si="319"/>
        <v>1.36</v>
      </c>
      <c r="CC178" s="153">
        <f t="shared" si="320"/>
        <v>0.88917304597108549</v>
      </c>
      <c r="CD178" s="5">
        <f t="shared" si="321"/>
        <v>88.917304597108554</v>
      </c>
      <c r="CG178" s="59">
        <f t="shared" si="356"/>
        <v>-50</v>
      </c>
      <c r="CH178">
        <f t="shared" si="357"/>
        <v>-50</v>
      </c>
    </row>
    <row r="179" spans="5:86" x14ac:dyDescent="0.25">
      <c r="E179" s="150">
        <v>69</v>
      </c>
      <c r="F179" s="191">
        <f t="shared" si="358"/>
        <v>6.8999999999999992E-2</v>
      </c>
      <c r="G179" s="191"/>
      <c r="H179" s="191">
        <f t="shared" si="322"/>
        <v>1.38</v>
      </c>
      <c r="I179" s="472">
        <f t="shared" si="323"/>
        <v>9</v>
      </c>
      <c r="J179" s="386">
        <f t="shared" si="324"/>
        <v>20.32</v>
      </c>
      <c r="K179" s="386">
        <f t="shared" si="325"/>
        <v>29.32</v>
      </c>
      <c r="L179" s="386"/>
      <c r="M179" s="191">
        <f t="shared" si="326"/>
        <v>0.69304229195088674</v>
      </c>
      <c r="N179" s="152">
        <f t="shared" si="327"/>
        <v>2.1101682401091408</v>
      </c>
      <c r="O179" s="152">
        <f t="shared" si="262"/>
        <v>1.38</v>
      </c>
      <c r="P179" s="191">
        <f t="shared" si="328"/>
        <v>0.10550841200545705</v>
      </c>
      <c r="Q179" s="191">
        <f t="shared" si="329"/>
        <v>20</v>
      </c>
      <c r="R179" s="191"/>
      <c r="S179" s="152">
        <f t="shared" si="330"/>
        <v>35.103042141860691</v>
      </c>
      <c r="T179" s="152">
        <f t="shared" si="331"/>
        <v>20</v>
      </c>
      <c r="U179" s="191">
        <f t="shared" si="332"/>
        <v>0.4916593759113444</v>
      </c>
      <c r="V179" s="191">
        <f t="shared" si="333"/>
        <v>8.1943229318557389</v>
      </c>
      <c r="W179" s="191">
        <f t="shared" si="334"/>
        <v>3.6293753143061838</v>
      </c>
      <c r="X179" s="175">
        <f t="shared" si="335"/>
        <v>277.21691678035478</v>
      </c>
      <c r="Y179" s="386">
        <f t="shared" si="303"/>
        <v>84.575906723990428</v>
      </c>
      <c r="AA179" s="191">
        <f t="shared" si="336"/>
        <v>0.14999999999999997</v>
      </c>
      <c r="AB179" s="153">
        <f t="shared" si="337"/>
        <v>1.1072834645669287</v>
      </c>
      <c r="AC179" s="153">
        <f t="shared" si="338"/>
        <v>2.3021828103683487E-2</v>
      </c>
      <c r="AD179" s="153"/>
      <c r="AE179" s="153">
        <f t="shared" si="339"/>
        <v>1.1072834645669289</v>
      </c>
      <c r="AF179" s="317">
        <f t="shared" si="340"/>
        <v>830.86222222222216</v>
      </c>
      <c r="AG179" s="463">
        <f t="shared" si="341"/>
        <v>2.3021828103683497E-2</v>
      </c>
      <c r="AI179" s="153">
        <f t="shared" si="342"/>
        <v>0.23111159951108345</v>
      </c>
      <c r="AJ179" s="153">
        <f t="shared" si="343"/>
        <v>0.4916593759113444</v>
      </c>
      <c r="AK179" s="153">
        <f t="shared" si="344"/>
        <v>1.4277729172742295</v>
      </c>
      <c r="AM179" s="317">
        <f t="shared" si="345"/>
        <v>68.999999999999986</v>
      </c>
      <c r="AN179" s="147">
        <f t="shared" si="346"/>
        <v>84.575906723990428</v>
      </c>
      <c r="AP179">
        <f t="shared" si="347"/>
        <v>68.999999999999986</v>
      </c>
      <c r="AQ179">
        <f t="shared" si="348"/>
        <v>84.575906723990428</v>
      </c>
      <c r="AS179" s="5">
        <f t="shared" si="263"/>
        <v>11.823698246161923</v>
      </c>
      <c r="AT179" s="5">
        <f t="shared" si="349"/>
        <v>8.1943229318557389</v>
      </c>
      <c r="AU179" s="5">
        <f t="shared" si="304"/>
        <v>3.6293753143061842</v>
      </c>
      <c r="AV179" s="5"/>
      <c r="AW179" s="153">
        <f t="shared" si="305"/>
        <v>0.69304229195088674</v>
      </c>
      <c r="AX179" s="153">
        <f t="shared" si="259"/>
        <v>1.5333333333333332</v>
      </c>
      <c r="AY179" s="153">
        <f t="shared" si="260"/>
        <v>7.5459317585301847E-2</v>
      </c>
      <c r="AZ179" s="153">
        <f t="shared" si="264"/>
        <v>20.319999999999997</v>
      </c>
      <c r="BA179" s="147">
        <f t="shared" si="350"/>
        <v>7.5578700647486725</v>
      </c>
      <c r="BB179" s="147">
        <f t="shared" si="351"/>
        <v>27.363761633333318</v>
      </c>
      <c r="BC179" s="5">
        <f t="shared" si="258"/>
        <v>0.61833801651142395</v>
      </c>
      <c r="BD179" s="147">
        <f t="shared" si="352"/>
        <v>62.344912762253507</v>
      </c>
      <c r="BF179" s="153">
        <f t="shared" si="265"/>
        <v>0.23631079813116299</v>
      </c>
      <c r="BG179" s="153">
        <f t="shared" si="261"/>
        <v>0.15726894372525355</v>
      </c>
      <c r="BI179" s="463">
        <f t="shared" si="306"/>
        <v>1.954497765968554E-2</v>
      </c>
      <c r="BJ179" s="463">
        <f t="shared" si="307"/>
        <v>6.0960000000000016E-3</v>
      </c>
      <c r="BK179" s="463">
        <f t="shared" si="308"/>
        <v>1.0571988340498802E-3</v>
      </c>
      <c r="BL179" s="463">
        <f t="shared" si="309"/>
        <v>3.6353363478260881E-3</v>
      </c>
      <c r="BM179">
        <f t="shared" si="310"/>
        <v>2.6099999999999999E-3</v>
      </c>
      <c r="BN179">
        <f t="shared" si="353"/>
        <v>8.4575906723990427E-7</v>
      </c>
      <c r="BO179" s="463">
        <f t="shared" si="354"/>
        <v>3.5711708734049899E-2</v>
      </c>
      <c r="BP179" s="147">
        <f t="shared" si="311"/>
        <v>32.943512841561507</v>
      </c>
      <c r="BQ179" s="463">
        <f t="shared" si="355"/>
        <v>4.5254409784589118E-2</v>
      </c>
      <c r="BT179" s="147">
        <f t="shared" si="312"/>
        <v>45.254409784589122</v>
      </c>
      <c r="BU179" s="463">
        <f t="shared" si="313"/>
        <v>4.4674234650709813E-2</v>
      </c>
      <c r="BV179" s="463">
        <f t="shared" si="314"/>
        <v>1.9687882445723746E-2</v>
      </c>
      <c r="BW179" s="463">
        <f t="shared" si="315"/>
        <v>0</v>
      </c>
      <c r="BX179" s="463"/>
      <c r="BY179" s="463">
        <f t="shared" si="316"/>
        <v>3.0666666666666668E-2</v>
      </c>
      <c r="BZ179" s="147">
        <f t="shared" si="317"/>
        <v>95.028783763100222</v>
      </c>
      <c r="CA179" s="153">
        <f t="shared" si="318"/>
        <v>0.17322670638925086</v>
      </c>
      <c r="CB179" s="5">
        <f t="shared" si="319"/>
        <v>1.38</v>
      </c>
      <c r="CC179" s="153">
        <f t="shared" si="320"/>
        <v>0.8884730054687594</v>
      </c>
      <c r="CD179" s="5">
        <f t="shared" si="321"/>
        <v>88.847300546875942</v>
      </c>
      <c r="CG179" s="59">
        <f t="shared" si="356"/>
        <v>-50</v>
      </c>
      <c r="CH179">
        <f t="shared" si="357"/>
        <v>-50</v>
      </c>
    </row>
    <row r="180" spans="5:86" x14ac:dyDescent="0.25">
      <c r="E180" s="150">
        <v>70</v>
      </c>
      <c r="F180" s="191">
        <f t="shared" si="358"/>
        <v>6.9999999999999993E-2</v>
      </c>
      <c r="G180" s="191"/>
      <c r="H180" s="191">
        <f t="shared" si="322"/>
        <v>1.4</v>
      </c>
      <c r="I180" s="472">
        <f t="shared" si="323"/>
        <v>9</v>
      </c>
      <c r="J180" s="386">
        <f t="shared" si="324"/>
        <v>20.32</v>
      </c>
      <c r="K180" s="386">
        <f t="shared" si="325"/>
        <v>29.32</v>
      </c>
      <c r="L180" s="386"/>
      <c r="M180" s="191">
        <f t="shared" si="326"/>
        <v>0.69304229195088674</v>
      </c>
      <c r="N180" s="152">
        <f t="shared" si="327"/>
        <v>2.1101682401091408</v>
      </c>
      <c r="O180" s="152">
        <f t="shared" si="262"/>
        <v>1.4</v>
      </c>
      <c r="P180" s="191">
        <f t="shared" si="328"/>
        <v>0.10550841200545705</v>
      </c>
      <c r="Q180" s="191">
        <f t="shared" si="329"/>
        <v>20</v>
      </c>
      <c r="R180" s="191"/>
      <c r="S180" s="152">
        <f t="shared" si="330"/>
        <v>34.475626166361153</v>
      </c>
      <c r="T180" s="152">
        <f t="shared" si="331"/>
        <v>20</v>
      </c>
      <c r="U180" s="191">
        <f t="shared" si="332"/>
        <v>0.49878487411295813</v>
      </c>
      <c r="V180" s="191">
        <f t="shared" si="333"/>
        <v>8.313081235215968</v>
      </c>
      <c r="W180" s="191">
        <f t="shared" si="334"/>
        <v>3.681974956542506</v>
      </c>
      <c r="X180" s="175">
        <f t="shared" si="335"/>
        <v>277.21691678035478</v>
      </c>
      <c r="Y180" s="386">
        <f t="shared" si="303"/>
        <v>83.367679485076266</v>
      </c>
      <c r="AA180" s="191">
        <f t="shared" si="336"/>
        <v>0.14999999999999997</v>
      </c>
      <c r="AB180" s="153">
        <f t="shared" si="337"/>
        <v>1.1072834645669287</v>
      </c>
      <c r="AC180" s="153">
        <f t="shared" si="338"/>
        <v>2.3021828103683487E-2</v>
      </c>
      <c r="AD180" s="153"/>
      <c r="AE180" s="153">
        <f t="shared" si="339"/>
        <v>1.1072834645669289</v>
      </c>
      <c r="AF180" s="317">
        <f t="shared" si="340"/>
        <v>842.90370370370374</v>
      </c>
      <c r="AG180" s="463">
        <f t="shared" si="341"/>
        <v>2.3021828103683497E-2</v>
      </c>
      <c r="AI180" s="153">
        <f t="shared" si="342"/>
        <v>0.23278029698981542</v>
      </c>
      <c r="AJ180" s="153">
        <f t="shared" si="343"/>
        <v>0.49878487411295813</v>
      </c>
      <c r="AK180" s="153">
        <f t="shared" si="344"/>
        <v>1.4325232494086388</v>
      </c>
      <c r="AM180" s="317">
        <f t="shared" si="345"/>
        <v>69.999999999999986</v>
      </c>
      <c r="AN180" s="147">
        <f t="shared" si="346"/>
        <v>83.367679485076266</v>
      </c>
      <c r="AP180">
        <f t="shared" si="347"/>
        <v>69.999999999999986</v>
      </c>
      <c r="AQ180">
        <f t="shared" si="348"/>
        <v>83.367679485076266</v>
      </c>
      <c r="AS180" s="5">
        <f t="shared" si="263"/>
        <v>11.995056191758474</v>
      </c>
      <c r="AT180" s="5">
        <f t="shared" si="349"/>
        <v>8.313081235215968</v>
      </c>
      <c r="AU180" s="5">
        <f t="shared" si="304"/>
        <v>3.681974956542506</v>
      </c>
      <c r="AV180" s="5"/>
      <c r="AW180" s="153">
        <f t="shared" si="305"/>
        <v>0.69304229195088674</v>
      </c>
      <c r="AX180" s="153">
        <f t="shared" si="259"/>
        <v>1.5555555555555554</v>
      </c>
      <c r="AY180" s="153">
        <f t="shared" si="260"/>
        <v>7.6552930883639556E-2</v>
      </c>
      <c r="AZ180" s="153">
        <f t="shared" si="264"/>
        <v>20.319999999999993</v>
      </c>
      <c r="BA180" s="147">
        <f t="shared" si="350"/>
        <v>7.5578700647486725</v>
      </c>
      <c r="BB180" s="147">
        <f t="shared" si="351"/>
        <v>28.159618148148134</v>
      </c>
      <c r="BC180" s="5">
        <f t="shared" si="258"/>
        <v>0.63639073322956885</v>
      </c>
      <c r="BD180" s="147">
        <f t="shared" si="352"/>
        <v>64.157591841475409</v>
      </c>
      <c r="BF180" s="153">
        <f t="shared" si="265"/>
        <v>0.23973559230697694</v>
      </c>
      <c r="BG180" s="153">
        <f t="shared" si="261"/>
        <v>0.15954820377924273</v>
      </c>
      <c r="BI180" s="463">
        <f t="shared" si="306"/>
        <v>2.0115603976571972E-2</v>
      </c>
      <c r="BJ180" s="463">
        <f t="shared" si="307"/>
        <v>6.0959999999999999E-3</v>
      </c>
      <c r="BK180" s="463">
        <f t="shared" si="308"/>
        <v>1.0420959935634531E-3</v>
      </c>
      <c r="BL180" s="463">
        <f t="shared" si="309"/>
        <v>3.583402971428572E-3</v>
      </c>
      <c r="BM180">
        <f t="shared" si="310"/>
        <v>2.6099999999999999E-3</v>
      </c>
      <c r="BN180">
        <f t="shared" si="353"/>
        <v>8.336767948507627E-7</v>
      </c>
      <c r="BO180" s="463">
        <f t="shared" si="354"/>
        <v>3.6298257930094113E-2</v>
      </c>
      <c r="BP180" s="147">
        <f t="shared" si="311"/>
        <v>33.447102941563998</v>
      </c>
      <c r="BQ180" s="463">
        <f t="shared" si="355"/>
        <v>4.6188100807495629E-2</v>
      </c>
      <c r="BT180" s="147">
        <f t="shared" si="312"/>
        <v>46.18810080749563</v>
      </c>
      <c r="BU180" s="463">
        <f t="shared" si="313"/>
        <v>4.5978523375021653E-2</v>
      </c>
      <c r="BV180" s="463">
        <f t="shared" si="314"/>
        <v>2.0262680946029479E-2</v>
      </c>
      <c r="BW180" s="463">
        <f t="shared" si="315"/>
        <v>0</v>
      </c>
      <c r="BX180" s="463"/>
      <c r="BY180" s="463">
        <f t="shared" si="316"/>
        <v>3.1111111111111117E-2</v>
      </c>
      <c r="BZ180" s="147">
        <f t="shared" si="317"/>
        <v>97.352315432162243</v>
      </c>
      <c r="CA180" s="153">
        <f t="shared" si="318"/>
        <v>0.17698751918122188</v>
      </c>
      <c r="CB180" s="5">
        <f t="shared" si="319"/>
        <v>1.4</v>
      </c>
      <c r="CC180" s="153">
        <f t="shared" si="320"/>
        <v>0.88776859865503921</v>
      </c>
      <c r="CD180" s="5">
        <f t="shared" si="321"/>
        <v>88.776859865503923</v>
      </c>
      <c r="CG180" s="59">
        <f t="shared" si="356"/>
        <v>-50</v>
      </c>
      <c r="CH180">
        <f t="shared" si="357"/>
        <v>-50</v>
      </c>
    </row>
    <row r="181" spans="5:86" x14ac:dyDescent="0.25">
      <c r="E181" s="150">
        <v>71</v>
      </c>
      <c r="F181" s="191">
        <f t="shared" si="358"/>
        <v>7.0999999999999994E-2</v>
      </c>
      <c r="G181" s="191"/>
      <c r="H181" s="191">
        <f t="shared" si="322"/>
        <v>1.42</v>
      </c>
      <c r="I181" s="472">
        <f t="shared" si="323"/>
        <v>9</v>
      </c>
      <c r="J181" s="386">
        <f t="shared" si="324"/>
        <v>20.32</v>
      </c>
      <c r="K181" s="386">
        <f t="shared" si="325"/>
        <v>29.32</v>
      </c>
      <c r="L181" s="386"/>
      <c r="M181" s="191">
        <f t="shared" si="326"/>
        <v>0.69304229195088674</v>
      </c>
      <c r="N181" s="152">
        <f t="shared" si="327"/>
        <v>2.1101682401091408</v>
      </c>
      <c r="O181" s="152">
        <f t="shared" si="262"/>
        <v>1.42</v>
      </c>
      <c r="P181" s="191">
        <f t="shared" si="328"/>
        <v>0.10550841200545705</v>
      </c>
      <c r="Q181" s="191">
        <f t="shared" si="329"/>
        <v>20</v>
      </c>
      <c r="R181" s="191"/>
      <c r="S181" s="152">
        <f t="shared" si="330"/>
        <v>33.865935312833066</v>
      </c>
      <c r="T181" s="152">
        <f t="shared" si="331"/>
        <v>20</v>
      </c>
      <c r="U181" s="191">
        <f t="shared" si="332"/>
        <v>0.50591037231457181</v>
      </c>
      <c r="V181" s="191">
        <f t="shared" si="333"/>
        <v>8.4318395385761971</v>
      </c>
      <c r="W181" s="191">
        <f t="shared" si="334"/>
        <v>3.7345745987788272</v>
      </c>
      <c r="X181" s="175">
        <f t="shared" si="335"/>
        <v>277.21691678035478</v>
      </c>
      <c r="Y181" s="386">
        <f t="shared" si="303"/>
        <v>82.193486816272369</v>
      </c>
      <c r="AA181" s="191">
        <f t="shared" si="336"/>
        <v>0.14999999999999997</v>
      </c>
      <c r="AB181" s="153">
        <f t="shared" si="337"/>
        <v>1.1072834645669287</v>
      </c>
      <c r="AC181" s="153">
        <f t="shared" si="338"/>
        <v>2.3021828103683487E-2</v>
      </c>
      <c r="AD181" s="153"/>
      <c r="AE181" s="153">
        <f t="shared" si="339"/>
        <v>1.1072834645669289</v>
      </c>
      <c r="AF181" s="317">
        <f t="shared" si="340"/>
        <v>854.94518518518521</v>
      </c>
      <c r="AG181" s="463">
        <f t="shared" si="341"/>
        <v>2.3021828103683497E-2</v>
      </c>
      <c r="AI181" s="153">
        <f t="shared" si="342"/>
        <v>0.23443711716526866</v>
      </c>
      <c r="AJ181" s="153">
        <f t="shared" si="343"/>
        <v>0.50591037231457181</v>
      </c>
      <c r="AK181" s="153">
        <f t="shared" si="344"/>
        <v>1.4372735815430477</v>
      </c>
      <c r="AM181" s="317">
        <f t="shared" si="345"/>
        <v>71</v>
      </c>
      <c r="AN181" s="147">
        <f t="shared" si="346"/>
        <v>82.193486816272369</v>
      </c>
      <c r="AP181">
        <f t="shared" si="347"/>
        <v>71</v>
      </c>
      <c r="AQ181">
        <f t="shared" si="348"/>
        <v>82.193486816272369</v>
      </c>
      <c r="AS181" s="5">
        <f t="shared" si="263"/>
        <v>12.166414137355025</v>
      </c>
      <c r="AT181" s="5">
        <f t="shared" si="349"/>
        <v>8.4318395385761971</v>
      </c>
      <c r="AU181" s="5">
        <f t="shared" si="304"/>
        <v>3.7345745987788277</v>
      </c>
      <c r="AV181" s="5"/>
      <c r="AW181" s="153">
        <f t="shared" si="305"/>
        <v>0.69304229195088674</v>
      </c>
      <c r="AX181" s="153">
        <f t="shared" si="259"/>
        <v>1.5777777777777775</v>
      </c>
      <c r="AY181" s="153">
        <f t="shared" si="260"/>
        <v>7.7646544181977264E-2</v>
      </c>
      <c r="AZ181" s="153">
        <f t="shared" si="264"/>
        <v>20.319999999999993</v>
      </c>
      <c r="BA181" s="147">
        <f t="shared" si="350"/>
        <v>7.5578700647486725</v>
      </c>
      <c r="BB181" s="147">
        <f t="shared" si="351"/>
        <v>28.96688267037036</v>
      </c>
      <c r="BC181" s="5">
        <f t="shared" ref="BC181:BC244" si="359">H181/Efficiency/I181*AU181/Vinripple1</f>
        <v>0.65470320126739934</v>
      </c>
      <c r="BD181" s="147">
        <f t="shared" si="352"/>
        <v>65.996246052665867</v>
      </c>
      <c r="BF181" s="153">
        <f t="shared" si="265"/>
        <v>0.2431603864827909</v>
      </c>
      <c r="BG181" s="153">
        <f t="shared" si="261"/>
        <v>0.1618274638332319</v>
      </c>
      <c r="BI181" s="463">
        <f t="shared" si="306"/>
        <v>2.0694440744061082E-2</v>
      </c>
      <c r="BJ181" s="463">
        <f t="shared" si="307"/>
        <v>6.0959999999999999E-3</v>
      </c>
      <c r="BK181" s="463">
        <f t="shared" si="308"/>
        <v>1.0274185852034046E-3</v>
      </c>
      <c r="BL181" s="463">
        <f t="shared" si="309"/>
        <v>3.5329325070422536E-3</v>
      </c>
      <c r="BM181">
        <f t="shared" si="310"/>
        <v>2.6099999999999999E-3</v>
      </c>
      <c r="BN181">
        <f t="shared" si="353"/>
        <v>8.2193486816272369E-7</v>
      </c>
      <c r="BO181" s="463">
        <f t="shared" si="354"/>
        <v>3.6896237693978644E-2</v>
      </c>
      <c r="BP181" s="147">
        <f t="shared" si="311"/>
        <v>33.96079183630674</v>
      </c>
      <c r="BQ181" s="463">
        <f t="shared" si="355"/>
        <v>4.7129729830731736E-2</v>
      </c>
      <c r="BT181" s="147">
        <f t="shared" si="312"/>
        <v>47.129729830731733</v>
      </c>
      <c r="BU181" s="463">
        <f t="shared" si="313"/>
        <v>4.7301578843568198E-2</v>
      </c>
      <c r="BV181" s="463">
        <f t="shared" si="314"/>
        <v>2.0845749928354002E-2</v>
      </c>
      <c r="BW181" s="463">
        <f t="shared" si="315"/>
        <v>0</v>
      </c>
      <c r="BX181" s="463"/>
      <c r="BY181" s="463">
        <f t="shared" si="316"/>
        <v>3.1555555555555559E-2</v>
      </c>
      <c r="BZ181" s="147">
        <f t="shared" si="317"/>
        <v>99.702884327477761</v>
      </c>
      <c r="CA181" s="153">
        <f t="shared" si="318"/>
        <v>0.18079340599451624</v>
      </c>
      <c r="CB181" s="5">
        <f t="shared" si="319"/>
        <v>1.42</v>
      </c>
      <c r="CC181" s="153">
        <f t="shared" si="320"/>
        <v>0.88706012573671511</v>
      </c>
      <c r="CD181" s="5">
        <f t="shared" si="321"/>
        <v>88.706012573671515</v>
      </c>
      <c r="CG181" s="59">
        <f t="shared" si="356"/>
        <v>-50</v>
      </c>
      <c r="CH181">
        <f t="shared" si="357"/>
        <v>-50</v>
      </c>
    </row>
    <row r="182" spans="5:86" x14ac:dyDescent="0.25">
      <c r="E182" s="150">
        <v>72</v>
      </c>
      <c r="F182" s="191">
        <f t="shared" si="358"/>
        <v>7.1999999999999995E-2</v>
      </c>
      <c r="G182" s="191"/>
      <c r="H182" s="191">
        <f t="shared" si="322"/>
        <v>1.44</v>
      </c>
      <c r="I182" s="472">
        <f t="shared" si="323"/>
        <v>9</v>
      </c>
      <c r="J182" s="386">
        <f t="shared" si="324"/>
        <v>20.32</v>
      </c>
      <c r="K182" s="386">
        <f t="shared" si="325"/>
        <v>29.32</v>
      </c>
      <c r="L182" s="386"/>
      <c r="M182" s="191">
        <f t="shared" si="326"/>
        <v>0.69304229195088674</v>
      </c>
      <c r="N182" s="152">
        <f t="shared" si="327"/>
        <v>2.1101682401091408</v>
      </c>
      <c r="O182" s="152">
        <f t="shared" si="262"/>
        <v>1.44</v>
      </c>
      <c r="P182" s="191">
        <f t="shared" si="328"/>
        <v>0.10550841200545705</v>
      </c>
      <c r="Q182" s="191">
        <f t="shared" si="329"/>
        <v>20</v>
      </c>
      <c r="R182" s="191"/>
      <c r="S182" s="152">
        <f t="shared" si="330"/>
        <v>33.27323155563289</v>
      </c>
      <c r="T182" s="152">
        <f t="shared" si="331"/>
        <v>20</v>
      </c>
      <c r="U182" s="191">
        <f t="shared" si="332"/>
        <v>0.51303587051618549</v>
      </c>
      <c r="V182" s="191">
        <f t="shared" si="333"/>
        <v>8.5505978419364244</v>
      </c>
      <c r="W182" s="191">
        <f t="shared" si="334"/>
        <v>3.7871742410151481</v>
      </c>
      <c r="X182" s="175">
        <f t="shared" si="335"/>
        <v>277.21691678035478</v>
      </c>
      <c r="Y182" s="386">
        <f t="shared" si="303"/>
        <v>81.051910610490836</v>
      </c>
      <c r="AA182" s="191">
        <f t="shared" si="336"/>
        <v>0.14999999999999997</v>
      </c>
      <c r="AB182" s="153">
        <f t="shared" si="337"/>
        <v>1.1072834645669287</v>
      </c>
      <c r="AC182" s="153">
        <f t="shared" si="338"/>
        <v>2.3021828103683487E-2</v>
      </c>
      <c r="AD182" s="153"/>
      <c r="AE182" s="153">
        <f t="shared" si="339"/>
        <v>1.1072834645669289</v>
      </c>
      <c r="AF182" s="317">
        <f t="shared" si="340"/>
        <v>866.98666666666668</v>
      </c>
      <c r="AG182" s="463">
        <f t="shared" si="341"/>
        <v>2.3021828103683497E-2</v>
      </c>
      <c r="AI182" s="153">
        <f t="shared" si="342"/>
        <v>0.23608231010149225</v>
      </c>
      <c r="AJ182" s="153">
        <f t="shared" si="343"/>
        <v>0.51303587051618549</v>
      </c>
      <c r="AK182" s="153">
        <f t="shared" si="344"/>
        <v>1.4420239136774571</v>
      </c>
      <c r="AM182" s="317">
        <f t="shared" si="345"/>
        <v>72</v>
      </c>
      <c r="AN182" s="147">
        <f t="shared" si="346"/>
        <v>81.051910610490836</v>
      </c>
      <c r="AP182">
        <f t="shared" si="347"/>
        <v>72</v>
      </c>
      <c r="AQ182">
        <f t="shared" si="348"/>
        <v>81.051910610490836</v>
      </c>
      <c r="AS182" s="5">
        <f t="shared" si="263"/>
        <v>12.33777208295157</v>
      </c>
      <c r="AT182" s="5">
        <f t="shared" si="349"/>
        <v>8.5505978419364244</v>
      </c>
      <c r="AU182" s="5">
        <f t="shared" si="304"/>
        <v>3.7871742410151459</v>
      </c>
      <c r="AV182" s="5"/>
      <c r="AW182" s="153">
        <f t="shared" si="305"/>
        <v>0.69304229195088696</v>
      </c>
      <c r="AX182" s="153">
        <f t="shared" si="259"/>
        <v>1.6000000000000005</v>
      </c>
      <c r="AY182" s="153">
        <f t="shared" si="260"/>
        <v>7.8740157480314918E-2</v>
      </c>
      <c r="AZ182" s="153">
        <f t="shared" si="264"/>
        <v>20.320000000000018</v>
      </c>
      <c r="BA182" s="147">
        <f t="shared" si="350"/>
        <v>7.5578700647486725</v>
      </c>
      <c r="BB182" s="147">
        <f t="shared" si="351"/>
        <v>29.78555519999999</v>
      </c>
      <c r="BC182" s="5">
        <f t="shared" si="359"/>
        <v>0.67327542062491474</v>
      </c>
      <c r="BD182" s="147">
        <f t="shared" si="352"/>
        <v>67.86087539582482</v>
      </c>
      <c r="BF182" s="153">
        <f t="shared" si="265"/>
        <v>0.24658518065860491</v>
      </c>
      <c r="BG182" s="153">
        <f t="shared" si="261"/>
        <v>0.164106723887221</v>
      </c>
      <c r="BI182" s="463">
        <f t="shared" si="306"/>
        <v>2.1281487962152887E-2</v>
      </c>
      <c r="BJ182" s="463">
        <f t="shared" si="307"/>
        <v>6.0960000000000016E-3</v>
      </c>
      <c r="BK182" s="463">
        <f t="shared" si="308"/>
        <v>1.0131488826311355E-3</v>
      </c>
      <c r="BL182" s="463">
        <f t="shared" si="309"/>
        <v>3.4838640000000014E-3</v>
      </c>
      <c r="BM182">
        <f t="shared" si="310"/>
        <v>2.6099999999999999E-3</v>
      </c>
      <c r="BN182">
        <f t="shared" si="353"/>
        <v>8.1051910610490839E-7</v>
      </c>
      <c r="BO182" s="463">
        <f t="shared" si="354"/>
        <v>3.7505575425160781E-2</v>
      </c>
      <c r="BP182" s="147">
        <f t="shared" si="311"/>
        <v>34.48450084478403</v>
      </c>
      <c r="BQ182" s="463">
        <f t="shared" si="355"/>
        <v>4.8079296854297397E-2</v>
      </c>
      <c r="BT182" s="147">
        <f t="shared" si="312"/>
        <v>48.079296854297397</v>
      </c>
      <c r="BU182" s="463">
        <f t="shared" si="313"/>
        <v>4.8643401056349456E-2</v>
      </c>
      <c r="BV182" s="463">
        <f t="shared" si="314"/>
        <v>2.1437089392697287E-2</v>
      </c>
      <c r="BW182" s="463">
        <f t="shared" si="315"/>
        <v>0</v>
      </c>
      <c r="BX182" s="463"/>
      <c r="BY182" s="463">
        <f t="shared" si="316"/>
        <v>3.2000000000000015E-2</v>
      </c>
      <c r="BZ182" s="147">
        <f t="shared" si="317"/>
        <v>102.08049044904675</v>
      </c>
      <c r="CA182" s="153">
        <f t="shared" si="318"/>
        <v>0.18464428814812817</v>
      </c>
      <c r="CB182" s="5">
        <f t="shared" si="319"/>
        <v>1.44</v>
      </c>
      <c r="CC182" s="153">
        <f t="shared" si="320"/>
        <v>0.88634786734849058</v>
      </c>
      <c r="CD182" s="5">
        <f t="shared" si="321"/>
        <v>88.634786734849058</v>
      </c>
      <c r="CG182" s="59">
        <f t="shared" si="356"/>
        <v>-50</v>
      </c>
      <c r="CH182">
        <f t="shared" si="357"/>
        <v>-50</v>
      </c>
    </row>
    <row r="183" spans="5:86" x14ac:dyDescent="0.25">
      <c r="E183" s="150">
        <v>73</v>
      </c>
      <c r="F183" s="191">
        <f t="shared" si="358"/>
        <v>7.2999999999999995E-2</v>
      </c>
      <c r="G183" s="191"/>
      <c r="H183" s="191">
        <f t="shared" si="322"/>
        <v>1.46</v>
      </c>
      <c r="I183" s="472">
        <f t="shared" si="323"/>
        <v>9</v>
      </c>
      <c r="J183" s="386">
        <f t="shared" si="324"/>
        <v>20.32</v>
      </c>
      <c r="K183" s="386">
        <f t="shared" si="325"/>
        <v>29.32</v>
      </c>
      <c r="L183" s="386"/>
      <c r="M183" s="191">
        <f t="shared" si="326"/>
        <v>0.69304229195088674</v>
      </c>
      <c r="N183" s="152">
        <f t="shared" si="327"/>
        <v>2.1101682401091408</v>
      </c>
      <c r="O183" s="152">
        <f t="shared" si="262"/>
        <v>1.46</v>
      </c>
      <c r="P183" s="191">
        <f t="shared" si="328"/>
        <v>0.10550841200545705</v>
      </c>
      <c r="Q183" s="191">
        <f t="shared" si="329"/>
        <v>20</v>
      </c>
      <c r="R183" s="191"/>
      <c r="S183" s="152">
        <f t="shared" si="330"/>
        <v>32.696817315477446</v>
      </c>
      <c r="T183" s="152">
        <f t="shared" si="331"/>
        <v>20</v>
      </c>
      <c r="U183" s="191">
        <f t="shared" si="332"/>
        <v>0.52016136871779917</v>
      </c>
      <c r="V183" s="191">
        <f t="shared" si="333"/>
        <v>8.6693561452966517</v>
      </c>
      <c r="W183" s="191">
        <f t="shared" si="334"/>
        <v>3.8397738832514698</v>
      </c>
      <c r="X183" s="175">
        <f t="shared" si="335"/>
        <v>277.21691678035478</v>
      </c>
      <c r="Y183" s="386">
        <f t="shared" si="303"/>
        <v>79.94161046514165</v>
      </c>
      <c r="AA183" s="191">
        <f t="shared" si="336"/>
        <v>0.14999999999999997</v>
      </c>
      <c r="AB183" s="153">
        <f t="shared" si="337"/>
        <v>1.1072834645669287</v>
      </c>
      <c r="AC183" s="153">
        <f t="shared" si="338"/>
        <v>2.3021828103683487E-2</v>
      </c>
      <c r="AD183" s="153"/>
      <c r="AE183" s="153">
        <f t="shared" si="339"/>
        <v>1.1072834645669289</v>
      </c>
      <c r="AF183" s="317">
        <f t="shared" si="340"/>
        <v>879.02814814814815</v>
      </c>
      <c r="AG183" s="463">
        <f t="shared" si="341"/>
        <v>2.3021828103683497E-2</v>
      </c>
      <c r="AI183" s="153">
        <f t="shared" si="342"/>
        <v>0.23771611720906177</v>
      </c>
      <c r="AJ183" s="153">
        <f t="shared" si="343"/>
        <v>0.52016136871779917</v>
      </c>
      <c r="AK183" s="153">
        <f t="shared" si="344"/>
        <v>1.446774245811866</v>
      </c>
      <c r="AM183" s="317">
        <f t="shared" si="345"/>
        <v>73</v>
      </c>
      <c r="AN183" s="147">
        <f t="shared" si="346"/>
        <v>79.94161046514165</v>
      </c>
      <c r="AP183">
        <f t="shared" si="347"/>
        <v>73</v>
      </c>
      <c r="AQ183">
        <f t="shared" si="348"/>
        <v>79.94161046514165</v>
      </c>
      <c r="AS183" s="5">
        <f t="shared" si="263"/>
        <v>12.509130028548119</v>
      </c>
      <c r="AT183" s="5">
        <f t="shared" si="349"/>
        <v>8.6693561452966517</v>
      </c>
      <c r="AU183" s="5">
        <f t="shared" si="304"/>
        <v>3.8397738832514676</v>
      </c>
      <c r="AV183" s="5"/>
      <c r="AW183" s="153">
        <f t="shared" si="305"/>
        <v>0.69304229195088685</v>
      </c>
      <c r="AX183" s="153">
        <f t="shared" si="259"/>
        <v>1.6222222222222227</v>
      </c>
      <c r="AY183" s="153">
        <f t="shared" si="260"/>
        <v>7.9833770778652655E-2</v>
      </c>
      <c r="AZ183" s="153">
        <f t="shared" si="264"/>
        <v>20.320000000000011</v>
      </c>
      <c r="BA183" s="147">
        <f t="shared" si="350"/>
        <v>7.5578700647486725</v>
      </c>
      <c r="BB183" s="147">
        <f t="shared" si="351"/>
        <v>30.615635737037028</v>
      </c>
      <c r="BC183" s="5">
        <f t="shared" si="359"/>
        <v>0.6921073913021164</v>
      </c>
      <c r="BD183" s="147">
        <f t="shared" si="352"/>
        <v>69.751479870952366</v>
      </c>
      <c r="BF183" s="153">
        <f t="shared" si="265"/>
        <v>0.25000997483441884</v>
      </c>
      <c r="BG183" s="153">
        <f t="shared" si="261"/>
        <v>0.16638598394121024</v>
      </c>
      <c r="BI183" s="463">
        <f t="shared" si="306"/>
        <v>2.187674563084736E-2</v>
      </c>
      <c r="BJ183" s="463">
        <f t="shared" si="307"/>
        <v>6.0960000000000025E-3</v>
      </c>
      <c r="BK183" s="463">
        <f t="shared" si="308"/>
        <v>9.9927013081427046E-4</v>
      </c>
      <c r="BL183" s="463">
        <f t="shared" si="309"/>
        <v>3.4361398356164397E-3</v>
      </c>
      <c r="BM183">
        <f t="shared" si="310"/>
        <v>2.6099999999999999E-3</v>
      </c>
      <c r="BN183">
        <f t="shared" si="353"/>
        <v>7.9941610465141651E-7</v>
      </c>
      <c r="BO183" s="463">
        <f t="shared" si="354"/>
        <v>3.8126202924928354E-2</v>
      </c>
      <c r="BP183" s="147">
        <f t="shared" si="311"/>
        <v>35.018155597278067</v>
      </c>
      <c r="BQ183" s="463">
        <f t="shared" si="355"/>
        <v>4.9036801878192697E-2</v>
      </c>
      <c r="BT183" s="147">
        <f t="shared" si="312"/>
        <v>49.036801878192698</v>
      </c>
      <c r="BU183" s="463">
        <f t="shared" si="313"/>
        <v>5.0003990013365397E-2</v>
      </c>
      <c r="BV183" s="463">
        <f t="shared" si="314"/>
        <v>2.2036699339059398E-2</v>
      </c>
      <c r="BW183" s="463">
        <f t="shared" si="315"/>
        <v>0</v>
      </c>
      <c r="BX183" s="463"/>
      <c r="BY183" s="463">
        <f t="shared" si="316"/>
        <v>3.2444444444444456E-2</v>
      </c>
      <c r="BZ183" s="147">
        <f t="shared" si="317"/>
        <v>104.48513379686926</v>
      </c>
      <c r="CA183" s="153">
        <f t="shared" si="318"/>
        <v>0.18854009127234</v>
      </c>
      <c r="CB183" s="5">
        <f t="shared" si="319"/>
        <v>1.46</v>
      </c>
      <c r="CC183" s="153">
        <f t="shared" si="320"/>
        <v>0.88563208606784616</v>
      </c>
      <c r="CD183" s="5">
        <f t="shared" si="321"/>
        <v>88.563208606784613</v>
      </c>
      <c r="CG183" s="59">
        <f t="shared" si="356"/>
        <v>-50</v>
      </c>
      <c r="CH183">
        <f t="shared" si="357"/>
        <v>-50</v>
      </c>
    </row>
    <row r="184" spans="5:86" x14ac:dyDescent="0.25">
      <c r="E184" s="150">
        <v>74</v>
      </c>
      <c r="F184" s="191">
        <f t="shared" si="358"/>
        <v>7.3999999999999996E-2</v>
      </c>
      <c r="G184" s="191"/>
      <c r="H184" s="191">
        <f t="shared" si="322"/>
        <v>1.48</v>
      </c>
      <c r="I184" s="472">
        <f t="shared" si="323"/>
        <v>9</v>
      </c>
      <c r="J184" s="386">
        <f t="shared" si="324"/>
        <v>20.32</v>
      </c>
      <c r="K184" s="386">
        <f t="shared" si="325"/>
        <v>29.32</v>
      </c>
      <c r="L184" s="386"/>
      <c r="M184" s="191">
        <f t="shared" si="326"/>
        <v>0.69304229195088674</v>
      </c>
      <c r="N184" s="152">
        <f t="shared" si="327"/>
        <v>2.1101682401091408</v>
      </c>
      <c r="O184" s="152">
        <f t="shared" si="262"/>
        <v>1.48</v>
      </c>
      <c r="P184" s="191">
        <f t="shared" si="328"/>
        <v>0.10550841200545705</v>
      </c>
      <c r="Q184" s="191">
        <f t="shared" si="329"/>
        <v>20</v>
      </c>
      <c r="R184" s="191"/>
      <c r="S184" s="152">
        <f t="shared" si="330"/>
        <v>32.136032726678138</v>
      </c>
      <c r="T184" s="152">
        <f t="shared" si="331"/>
        <v>20</v>
      </c>
      <c r="U184" s="191">
        <f t="shared" si="332"/>
        <v>0.52728686691941284</v>
      </c>
      <c r="V184" s="191">
        <f t="shared" si="333"/>
        <v>8.7881144486568807</v>
      </c>
      <c r="W184" s="191">
        <f t="shared" si="334"/>
        <v>3.8923735254877916</v>
      </c>
      <c r="X184" s="175">
        <f t="shared" si="335"/>
        <v>277.21691678035478</v>
      </c>
      <c r="Y184" s="386">
        <f t="shared" si="303"/>
        <v>78.861318431828906</v>
      </c>
      <c r="AA184" s="191">
        <f t="shared" si="336"/>
        <v>0.14999999999999997</v>
      </c>
      <c r="AB184" s="153">
        <f t="shared" si="337"/>
        <v>1.1072834645669287</v>
      </c>
      <c r="AC184" s="153">
        <f t="shared" si="338"/>
        <v>2.3021828103683487E-2</v>
      </c>
      <c r="AD184" s="153"/>
      <c r="AE184" s="153">
        <f t="shared" si="339"/>
        <v>1.1072834645669289</v>
      </c>
      <c r="AF184" s="317">
        <f t="shared" si="340"/>
        <v>891.06962962962962</v>
      </c>
      <c r="AG184" s="463">
        <f t="shared" si="341"/>
        <v>2.3021828103683497E-2</v>
      </c>
      <c r="AI184" s="153">
        <f t="shared" si="342"/>
        <v>0.23933877165860032</v>
      </c>
      <c r="AJ184" s="153">
        <f t="shared" si="343"/>
        <v>0.52728686691941284</v>
      </c>
      <c r="AK184" s="153">
        <f t="shared" si="344"/>
        <v>1.4515245779462753</v>
      </c>
      <c r="AM184" s="317">
        <f t="shared" si="345"/>
        <v>74</v>
      </c>
      <c r="AN184" s="147">
        <f t="shared" si="346"/>
        <v>78.861318431828906</v>
      </c>
      <c r="AP184">
        <f t="shared" si="347"/>
        <v>74</v>
      </c>
      <c r="AQ184">
        <f t="shared" si="348"/>
        <v>78.861318431828906</v>
      </c>
      <c r="AS184" s="5">
        <f t="shared" si="263"/>
        <v>12.680487974144672</v>
      </c>
      <c r="AT184" s="5">
        <f t="shared" si="349"/>
        <v>8.7881144486568807</v>
      </c>
      <c r="AU184" s="5">
        <f t="shared" si="304"/>
        <v>3.8923735254877911</v>
      </c>
      <c r="AV184" s="5"/>
      <c r="AW184" s="153">
        <f t="shared" si="305"/>
        <v>0.69304229195088685</v>
      </c>
      <c r="AX184" s="153">
        <f t="shared" si="259"/>
        <v>1.6444444444444442</v>
      </c>
      <c r="AY184" s="153">
        <f t="shared" si="260"/>
        <v>8.092738407699035E-2</v>
      </c>
      <c r="AZ184" s="153">
        <f t="shared" si="264"/>
        <v>20.320000000000004</v>
      </c>
      <c r="BA184" s="147">
        <f t="shared" si="350"/>
        <v>7.5578700647486725</v>
      </c>
      <c r="BB184" s="147">
        <f t="shared" si="351"/>
        <v>31.457124281481473</v>
      </c>
      <c r="BC184" s="5">
        <f t="shared" si="359"/>
        <v>0.71119911329900376</v>
      </c>
      <c r="BD184" s="147">
        <f t="shared" si="352"/>
        <v>71.668059478048519</v>
      </c>
      <c r="BF184" s="153">
        <f t="shared" si="265"/>
        <v>0.25343476901023276</v>
      </c>
      <c r="BG184" s="153">
        <f t="shared" si="261"/>
        <v>0.16866524399519942</v>
      </c>
      <c r="BI184" s="463">
        <f t="shared" si="306"/>
        <v>2.2480213750144508E-2</v>
      </c>
      <c r="BJ184" s="463">
        <f t="shared" si="307"/>
        <v>6.0959999999999999E-3</v>
      </c>
      <c r="BK184" s="463">
        <f t="shared" si="308"/>
        <v>9.8576648039786115E-4</v>
      </c>
      <c r="BL184" s="463">
        <f t="shared" si="309"/>
        <v>3.3897055135135141E-3</v>
      </c>
      <c r="BM184">
        <f t="shared" si="310"/>
        <v>2.6099999999999999E-3</v>
      </c>
      <c r="BN184">
        <f t="shared" si="353"/>
        <v>7.8861318431828907E-7</v>
      </c>
      <c r="BO184" s="463">
        <f t="shared" si="354"/>
        <v>3.875805610518699E-2</v>
      </c>
      <c r="BP184" s="147">
        <f t="shared" si="311"/>
        <v>35.561685744055886</v>
      </c>
      <c r="BQ184" s="463">
        <f t="shared" si="355"/>
        <v>5.0002244902417559E-2</v>
      </c>
      <c r="BT184" s="147">
        <f t="shared" si="312"/>
        <v>50.002244902417559</v>
      </c>
      <c r="BU184" s="463">
        <f t="shared" si="313"/>
        <v>5.138334571461603E-2</v>
      </c>
      <c r="BV184" s="463">
        <f t="shared" si="314"/>
        <v>2.2644579767440283E-2</v>
      </c>
      <c r="BW184" s="463">
        <f t="shared" si="315"/>
        <v>0</v>
      </c>
      <c r="BX184" s="463"/>
      <c r="BY184" s="463">
        <f t="shared" si="316"/>
        <v>3.2888888888888884E-2</v>
      </c>
      <c r="BZ184" s="147">
        <f t="shared" si="317"/>
        <v>106.91681437094519</v>
      </c>
      <c r="CA184" s="153">
        <f t="shared" si="318"/>
        <v>0.19248074501741863</v>
      </c>
      <c r="CB184" s="5">
        <f t="shared" si="319"/>
        <v>1.48</v>
      </c>
      <c r="CC184" s="153">
        <f t="shared" si="320"/>
        <v>0.88491302779368386</v>
      </c>
      <c r="CD184" s="5">
        <f t="shared" si="321"/>
        <v>88.491302779368382</v>
      </c>
      <c r="CG184" s="59">
        <f t="shared" si="356"/>
        <v>-50</v>
      </c>
      <c r="CH184">
        <f t="shared" si="357"/>
        <v>-50</v>
      </c>
    </row>
    <row r="185" spans="5:86" x14ac:dyDescent="0.25">
      <c r="E185" s="150">
        <v>75</v>
      </c>
      <c r="F185" s="191">
        <f t="shared" si="358"/>
        <v>7.5000000000000011E-2</v>
      </c>
      <c r="G185" s="191"/>
      <c r="H185" s="191">
        <f t="shared" si="322"/>
        <v>1.5000000000000002</v>
      </c>
      <c r="I185" s="472">
        <f t="shared" si="323"/>
        <v>9</v>
      </c>
      <c r="J185" s="386">
        <f t="shared" si="324"/>
        <v>20.32</v>
      </c>
      <c r="K185" s="386">
        <f t="shared" si="325"/>
        <v>29.32</v>
      </c>
      <c r="L185" s="386"/>
      <c r="M185" s="191">
        <f t="shared" si="326"/>
        <v>0.69304229195088674</v>
      </c>
      <c r="N185" s="152">
        <f t="shared" si="327"/>
        <v>2.1101682401091408</v>
      </c>
      <c r="O185" s="152">
        <f t="shared" si="262"/>
        <v>1.5000000000000002</v>
      </c>
      <c r="P185" s="191">
        <f t="shared" si="328"/>
        <v>0.10550841200545705</v>
      </c>
      <c r="Q185" s="191">
        <f t="shared" si="329"/>
        <v>20</v>
      </c>
      <c r="R185" s="191"/>
      <c r="S185" s="152">
        <f t="shared" si="330"/>
        <v>31.590253122997769</v>
      </c>
      <c r="T185" s="152">
        <f t="shared" si="331"/>
        <v>20</v>
      </c>
      <c r="U185" s="191">
        <f t="shared" si="332"/>
        <v>0.53441236512102663</v>
      </c>
      <c r="V185" s="191">
        <f t="shared" si="333"/>
        <v>8.906872752017108</v>
      </c>
      <c r="W185" s="191">
        <f t="shared" si="334"/>
        <v>3.9449731677241133</v>
      </c>
      <c r="X185" s="175">
        <f t="shared" si="335"/>
        <v>277.21691678035478</v>
      </c>
      <c r="Y185" s="386">
        <f t="shared" si="303"/>
        <v>77.8098341860712</v>
      </c>
      <c r="AA185" s="191">
        <f t="shared" si="336"/>
        <v>0.14999999999999997</v>
      </c>
      <c r="AB185" s="153">
        <f t="shared" si="337"/>
        <v>1.1072834645669287</v>
      </c>
      <c r="AC185" s="153">
        <f t="shared" si="338"/>
        <v>2.3021828103683487E-2</v>
      </c>
      <c r="AD185" s="153"/>
      <c r="AE185" s="153">
        <f t="shared" si="339"/>
        <v>1.1072834645669289</v>
      </c>
      <c r="AF185" s="317">
        <f t="shared" si="340"/>
        <v>903.11111111111131</v>
      </c>
      <c r="AG185" s="463">
        <f t="shared" si="341"/>
        <v>2.3021828103683497E-2</v>
      </c>
      <c r="AI185" s="153">
        <f t="shared" si="342"/>
        <v>0.24095049876923449</v>
      </c>
      <c r="AJ185" s="153">
        <f t="shared" si="343"/>
        <v>0.53441236512102663</v>
      </c>
      <c r="AK185" s="153">
        <f t="shared" si="344"/>
        <v>1.4562749100806844</v>
      </c>
      <c r="AM185" s="317">
        <f t="shared" si="345"/>
        <v>75.000000000000014</v>
      </c>
      <c r="AN185" s="147">
        <f t="shared" si="346"/>
        <v>77.8098341860712</v>
      </c>
      <c r="AP185">
        <f t="shared" si="347"/>
        <v>75.000000000000014</v>
      </c>
      <c r="AQ185">
        <f t="shared" si="348"/>
        <v>77.8098341860712</v>
      </c>
      <c r="AS185" s="5">
        <f t="shared" si="263"/>
        <v>12.851845919741219</v>
      </c>
      <c r="AT185" s="5">
        <f t="shared" si="349"/>
        <v>8.906872752017108</v>
      </c>
      <c r="AU185" s="5">
        <f t="shared" si="304"/>
        <v>3.9449731677241111</v>
      </c>
      <c r="AV185" s="5"/>
      <c r="AW185" s="153">
        <f t="shared" si="305"/>
        <v>0.69304229195088685</v>
      </c>
      <c r="AX185" s="153">
        <f t="shared" si="259"/>
        <v>1.6666666666666674</v>
      </c>
      <c r="AY185" s="153">
        <f t="shared" si="260"/>
        <v>8.2020997375328072E-2</v>
      </c>
      <c r="AZ185" s="153">
        <f t="shared" si="264"/>
        <v>20.320000000000011</v>
      </c>
      <c r="BA185" s="147">
        <f t="shared" si="350"/>
        <v>7.5578700647486725</v>
      </c>
      <c r="BB185" s="147">
        <f t="shared" si="351"/>
        <v>32.31002083333334</v>
      </c>
      <c r="BC185" s="5">
        <f t="shared" si="359"/>
        <v>0.73055058661557626</v>
      </c>
      <c r="BD185" s="147">
        <f t="shared" si="352"/>
        <v>73.610614217113181</v>
      </c>
      <c r="BF185" s="153">
        <f t="shared" si="265"/>
        <v>0.2568595631860468</v>
      </c>
      <c r="BG185" s="153">
        <f t="shared" si="261"/>
        <v>0.17094450404918862</v>
      </c>
      <c r="BI185" s="463">
        <f t="shared" si="306"/>
        <v>2.3091892320044369E-2</v>
      </c>
      <c r="BJ185" s="463">
        <f t="shared" si="307"/>
        <v>6.0960000000000025E-3</v>
      </c>
      <c r="BK185" s="463">
        <f t="shared" si="308"/>
        <v>9.7262292732588982E-4</v>
      </c>
      <c r="BL185" s="463">
        <f t="shared" si="309"/>
        <v>3.3445094400000011E-3</v>
      </c>
      <c r="BM185">
        <f t="shared" si="310"/>
        <v>2.6099999999999999E-3</v>
      </c>
      <c r="BN185">
        <f t="shared" si="353"/>
        <v>7.7809834186071203E-7</v>
      </c>
      <c r="BO185" s="463">
        <f t="shared" si="354"/>
        <v>3.9401074720557858E-2</v>
      </c>
      <c r="BP185" s="147">
        <f t="shared" si="311"/>
        <v>36.115024687370266</v>
      </c>
      <c r="BQ185" s="463">
        <f t="shared" si="355"/>
        <v>5.097562592697203E-2</v>
      </c>
      <c r="BT185" s="147">
        <f t="shared" si="312"/>
        <v>50.975625926972029</v>
      </c>
      <c r="BU185" s="463">
        <f t="shared" si="313"/>
        <v>5.2781468160101423E-2</v>
      </c>
      <c r="BV185" s="463">
        <f t="shared" si="314"/>
        <v>2.3260730677839962E-2</v>
      </c>
      <c r="BW185" s="463">
        <f t="shared" si="315"/>
        <v>0</v>
      </c>
      <c r="BX185" s="463"/>
      <c r="BY185" s="463">
        <f t="shared" si="316"/>
        <v>3.3333333333333354E-2</v>
      </c>
      <c r="BZ185" s="147">
        <f t="shared" si="317"/>
        <v>109.37553217127474</v>
      </c>
      <c r="CA185" s="153">
        <f t="shared" si="318"/>
        <v>0.19646618278561703</v>
      </c>
      <c r="CB185" s="5">
        <f t="shared" si="319"/>
        <v>1.5000000000000002</v>
      </c>
      <c r="CC185" s="153">
        <f t="shared" si="320"/>
        <v>0.88419092300265167</v>
      </c>
      <c r="CD185" s="5">
        <f t="shared" si="321"/>
        <v>88.419092300265163</v>
      </c>
      <c r="CG185" s="59">
        <f t="shared" si="356"/>
        <v>-50</v>
      </c>
      <c r="CH185">
        <f t="shared" si="357"/>
        <v>-50</v>
      </c>
    </row>
    <row r="186" spans="5:86" x14ac:dyDescent="0.25">
      <c r="E186" s="150">
        <v>76</v>
      </c>
      <c r="F186" s="191">
        <f t="shared" si="358"/>
        <v>7.6000000000000012E-2</v>
      </c>
      <c r="G186" s="191"/>
      <c r="H186" s="191">
        <f t="shared" si="322"/>
        <v>1.5200000000000002</v>
      </c>
      <c r="I186" s="472">
        <f t="shared" si="323"/>
        <v>9</v>
      </c>
      <c r="J186" s="386">
        <f t="shared" si="324"/>
        <v>20.32</v>
      </c>
      <c r="K186" s="386">
        <f t="shared" si="325"/>
        <v>29.32</v>
      </c>
      <c r="L186" s="386"/>
      <c r="M186" s="191">
        <f t="shared" si="326"/>
        <v>0.69304229195088674</v>
      </c>
      <c r="N186" s="152">
        <f t="shared" si="327"/>
        <v>2.1101682401091408</v>
      </c>
      <c r="O186" s="152">
        <f t="shared" si="262"/>
        <v>1.5200000000000002</v>
      </c>
      <c r="P186" s="191">
        <f t="shared" si="328"/>
        <v>0.10550841200545705</v>
      </c>
      <c r="Q186" s="191">
        <f t="shared" si="329"/>
        <v>20</v>
      </c>
      <c r="R186" s="191"/>
      <c r="S186" s="152">
        <f t="shared" si="330"/>
        <v>31.058886721994071</v>
      </c>
      <c r="T186" s="152">
        <f t="shared" si="331"/>
        <v>20</v>
      </c>
      <c r="U186" s="191">
        <f t="shared" si="332"/>
        <v>0.54153786332264031</v>
      </c>
      <c r="V186" s="191">
        <f t="shared" si="333"/>
        <v>9.0256310553773371</v>
      </c>
      <c r="W186" s="191">
        <f t="shared" si="334"/>
        <v>3.9975728099604351</v>
      </c>
      <c r="X186" s="175">
        <f t="shared" si="335"/>
        <v>277.21691678035478</v>
      </c>
      <c r="Y186" s="386">
        <f t="shared" si="303"/>
        <v>76.786020578359711</v>
      </c>
      <c r="AA186" s="191">
        <f t="shared" si="336"/>
        <v>0.14999999999999997</v>
      </c>
      <c r="AB186" s="153">
        <f t="shared" si="337"/>
        <v>1.1072834645669287</v>
      </c>
      <c r="AC186" s="153">
        <f t="shared" si="338"/>
        <v>2.3021828103683487E-2</v>
      </c>
      <c r="AD186" s="153"/>
      <c r="AE186" s="153">
        <f t="shared" si="339"/>
        <v>1.1072834645669289</v>
      </c>
      <c r="AF186" s="317">
        <f t="shared" si="340"/>
        <v>915.15259259259278</v>
      </c>
      <c r="AG186" s="463">
        <f t="shared" si="341"/>
        <v>2.3021828103683497E-2</v>
      </c>
      <c r="AI186" s="153">
        <f t="shared" si="342"/>
        <v>0.24255151637381719</v>
      </c>
      <c r="AJ186" s="153">
        <f t="shared" si="343"/>
        <v>0.54153786332264031</v>
      </c>
      <c r="AK186" s="153">
        <f t="shared" si="344"/>
        <v>1.4610252422150936</v>
      </c>
      <c r="AM186" s="317">
        <f t="shared" si="345"/>
        <v>76.000000000000014</v>
      </c>
      <c r="AN186" s="147">
        <f t="shared" si="346"/>
        <v>76.786020578359711</v>
      </c>
      <c r="AP186">
        <f t="shared" si="347"/>
        <v>76.000000000000014</v>
      </c>
      <c r="AQ186">
        <f t="shared" si="348"/>
        <v>76.786020578359711</v>
      </c>
      <c r="AS186" s="5">
        <f t="shared" si="263"/>
        <v>13.023203865337774</v>
      </c>
      <c r="AT186" s="5">
        <f t="shared" si="349"/>
        <v>9.0256310553773371</v>
      </c>
      <c r="AU186" s="5">
        <f t="shared" si="304"/>
        <v>3.9975728099604364</v>
      </c>
      <c r="AV186" s="5"/>
      <c r="AW186" s="153">
        <f t="shared" si="305"/>
        <v>0.69304229195088662</v>
      </c>
      <c r="AX186" s="153">
        <f t="shared" si="259"/>
        <v>1.6888888888888893</v>
      </c>
      <c r="AY186" s="153">
        <f t="shared" si="260"/>
        <v>8.3114610673665837E-2</v>
      </c>
      <c r="AZ186" s="153">
        <f t="shared" si="264"/>
        <v>20.319999999999993</v>
      </c>
      <c r="BA186" s="147">
        <f t="shared" si="350"/>
        <v>7.5578700647486725</v>
      </c>
      <c r="BB186" s="147">
        <f t="shared" si="351"/>
        <v>33.174325392592593</v>
      </c>
      <c r="BC186" s="5">
        <f t="shared" si="359"/>
        <v>0.75016181125183501</v>
      </c>
      <c r="BD186" s="147">
        <f t="shared" si="352"/>
        <v>75.579144088146478</v>
      </c>
      <c r="BF186" s="153">
        <f t="shared" si="265"/>
        <v>0.26028435736186067</v>
      </c>
      <c r="BG186" s="153">
        <f t="shared" si="261"/>
        <v>0.17322376410317786</v>
      </c>
      <c r="BI186" s="463">
        <f t="shared" si="306"/>
        <v>2.3711781340546877E-2</v>
      </c>
      <c r="BJ186" s="463">
        <f t="shared" si="307"/>
        <v>6.0959999999999999E-3</v>
      </c>
      <c r="BK186" s="463">
        <f t="shared" si="308"/>
        <v>9.5982525722949636E-4</v>
      </c>
      <c r="BL186" s="463">
        <f t="shared" si="309"/>
        <v>3.3005027368421054E-3</v>
      </c>
      <c r="BM186">
        <f t="shared" si="310"/>
        <v>2.6099999999999999E-3</v>
      </c>
      <c r="BN186">
        <f t="shared" si="353"/>
        <v>7.6786020578359711E-7</v>
      </c>
      <c r="BO186" s="463">
        <f t="shared" si="354"/>
        <v>4.0055202121639003E-2</v>
      </c>
      <c r="BP186" s="147">
        <f t="shared" si="311"/>
        <v>36.678109334618476</v>
      </c>
      <c r="BQ186" s="463">
        <f t="shared" si="355"/>
        <v>5.1956944951856092E-2</v>
      </c>
      <c r="BT186" s="147">
        <f t="shared" si="312"/>
        <v>51.956944951856094</v>
      </c>
      <c r="BU186" s="463">
        <f t="shared" si="313"/>
        <v>5.4198357349821438E-2</v>
      </c>
      <c r="BV186" s="463">
        <f t="shared" si="314"/>
        <v>2.3885152070258434E-2</v>
      </c>
      <c r="BW186" s="463">
        <f t="shared" si="315"/>
        <v>0</v>
      </c>
      <c r="BX186" s="463"/>
      <c r="BY186" s="463">
        <f t="shared" si="316"/>
        <v>3.3777777777777789E-2</v>
      </c>
      <c r="BZ186" s="147">
        <f t="shared" si="317"/>
        <v>111.86128719785765</v>
      </c>
      <c r="CA186" s="153">
        <f t="shared" si="318"/>
        <v>0.20049634148433224</v>
      </c>
      <c r="CB186" s="5">
        <f t="shared" si="319"/>
        <v>1.5200000000000002</v>
      </c>
      <c r="CC186" s="153">
        <f t="shared" si="320"/>
        <v>0.88346598789547148</v>
      </c>
      <c r="CD186" s="5">
        <f t="shared" si="321"/>
        <v>88.346598789547144</v>
      </c>
      <c r="CG186" s="59">
        <f t="shared" si="356"/>
        <v>-50</v>
      </c>
      <c r="CH186">
        <f t="shared" si="357"/>
        <v>-50</v>
      </c>
    </row>
    <row r="187" spans="5:86" x14ac:dyDescent="0.25">
      <c r="E187" s="150">
        <v>77</v>
      </c>
      <c r="F187" s="191">
        <f t="shared" si="358"/>
        <v>7.7000000000000013E-2</v>
      </c>
      <c r="G187" s="191"/>
      <c r="H187" s="191">
        <f t="shared" si="322"/>
        <v>1.5400000000000003</v>
      </c>
      <c r="I187" s="472">
        <f t="shared" si="323"/>
        <v>9</v>
      </c>
      <c r="J187" s="386">
        <f t="shared" si="324"/>
        <v>20.32</v>
      </c>
      <c r="K187" s="386">
        <f t="shared" si="325"/>
        <v>29.32</v>
      </c>
      <c r="L187" s="386"/>
      <c r="M187" s="191">
        <f t="shared" si="326"/>
        <v>0.69304229195088674</v>
      </c>
      <c r="N187" s="152">
        <f t="shared" si="327"/>
        <v>2.1101682401091408</v>
      </c>
      <c r="O187" s="152">
        <f t="shared" si="262"/>
        <v>1.5400000000000003</v>
      </c>
      <c r="P187" s="191">
        <f t="shared" si="328"/>
        <v>0.10550841200545705</v>
      </c>
      <c r="Q187" s="191">
        <f t="shared" si="329"/>
        <v>20</v>
      </c>
      <c r="R187" s="191"/>
      <c r="S187" s="152">
        <f t="shared" si="330"/>
        <v>30.54137248980528</v>
      </c>
      <c r="T187" s="152">
        <f t="shared" si="331"/>
        <v>20</v>
      </c>
      <c r="U187" s="191">
        <f t="shared" si="332"/>
        <v>0.5486633615242541</v>
      </c>
      <c r="V187" s="191">
        <f t="shared" si="333"/>
        <v>9.144389358737568</v>
      </c>
      <c r="W187" s="191">
        <f t="shared" si="334"/>
        <v>4.0501724521967573</v>
      </c>
      <c r="X187" s="175">
        <f t="shared" si="335"/>
        <v>277.21691678035478</v>
      </c>
      <c r="Y187" s="386">
        <f t="shared" si="303"/>
        <v>75.788799531887491</v>
      </c>
      <c r="AA187" s="191">
        <f t="shared" si="336"/>
        <v>0.14999999999999997</v>
      </c>
      <c r="AB187" s="153">
        <f t="shared" si="337"/>
        <v>1.1072834645669287</v>
      </c>
      <c r="AC187" s="153">
        <f t="shared" si="338"/>
        <v>2.3021828103683487E-2</v>
      </c>
      <c r="AD187" s="153"/>
      <c r="AE187" s="153">
        <f t="shared" si="339"/>
        <v>1.1072834645669289</v>
      </c>
      <c r="AF187" s="317">
        <f t="shared" si="340"/>
        <v>927.19407407407425</v>
      </c>
      <c r="AG187" s="463">
        <f t="shared" si="341"/>
        <v>2.3021828103683497E-2</v>
      </c>
      <c r="AI187" s="153">
        <f t="shared" si="342"/>
        <v>0.24414203516259414</v>
      </c>
      <c r="AJ187" s="153">
        <f t="shared" si="343"/>
        <v>0.5486633615242541</v>
      </c>
      <c r="AK187" s="153">
        <f t="shared" si="344"/>
        <v>1.4657755743495027</v>
      </c>
      <c r="AM187" s="317">
        <f t="shared" si="345"/>
        <v>77.000000000000014</v>
      </c>
      <c r="AN187" s="147">
        <f t="shared" si="346"/>
        <v>75.788799531887491</v>
      </c>
      <c r="AP187">
        <f t="shared" si="347"/>
        <v>77.000000000000014</v>
      </c>
      <c r="AQ187">
        <f t="shared" si="348"/>
        <v>75.788799531887491</v>
      </c>
      <c r="AS187" s="5">
        <f t="shared" si="263"/>
        <v>13.194561810934326</v>
      </c>
      <c r="AT187" s="5">
        <f t="shared" si="349"/>
        <v>9.144389358737568</v>
      </c>
      <c r="AU187" s="5">
        <f t="shared" si="304"/>
        <v>4.0501724521967581</v>
      </c>
      <c r="AV187" s="5"/>
      <c r="AW187" s="153">
        <f t="shared" si="305"/>
        <v>0.69304229195088674</v>
      </c>
      <c r="AX187" s="153">
        <f t="shared" si="259"/>
        <v>1.7111111111111117</v>
      </c>
      <c r="AY187" s="153">
        <f t="shared" si="260"/>
        <v>8.4208223972003532E-2</v>
      </c>
      <c r="AZ187" s="153">
        <f t="shared" si="264"/>
        <v>20.32</v>
      </c>
      <c r="BA187" s="147">
        <f t="shared" si="350"/>
        <v>7.5578700647486725</v>
      </c>
      <c r="BB187" s="147">
        <f t="shared" si="351"/>
        <v>34.050037959259271</v>
      </c>
      <c r="BC187" s="5">
        <f t="shared" si="359"/>
        <v>0.77003278720777868</v>
      </c>
      <c r="BD187" s="147">
        <f t="shared" si="352"/>
        <v>77.573649091148241</v>
      </c>
      <c r="BF187" s="153">
        <f t="shared" si="265"/>
        <v>0.26370915153767471</v>
      </c>
      <c r="BG187" s="153">
        <f t="shared" si="261"/>
        <v>0.17550302415716706</v>
      </c>
      <c r="BI187" s="463">
        <f t="shared" si="306"/>
        <v>2.4339880811652097E-2</v>
      </c>
      <c r="BJ187" s="463">
        <f t="shared" si="307"/>
        <v>6.0959999999999999E-3</v>
      </c>
      <c r="BK187" s="463">
        <f t="shared" si="308"/>
        <v>9.4735999414859357E-4</v>
      </c>
      <c r="BL187" s="463">
        <f t="shared" si="309"/>
        <v>3.2576390649350644E-3</v>
      </c>
      <c r="BM187">
        <f t="shared" si="310"/>
        <v>2.6099999999999999E-3</v>
      </c>
      <c r="BN187">
        <f t="shared" si="353"/>
        <v>7.5788799531887492E-7</v>
      </c>
      <c r="BO187" s="463">
        <f t="shared" si="354"/>
        <v>4.072038502750723E-2</v>
      </c>
      <c r="BP187" s="147">
        <f t="shared" si="311"/>
        <v>37.250879870735758</v>
      </c>
      <c r="BQ187" s="463">
        <f t="shared" si="355"/>
        <v>5.2946201977069743E-2</v>
      </c>
      <c r="BT187" s="147">
        <f t="shared" si="312"/>
        <v>52.946201977069741</v>
      </c>
      <c r="BU187" s="463">
        <f t="shared" si="313"/>
        <v>5.5634013283776235E-2</v>
      </c>
      <c r="BV187" s="463">
        <f t="shared" si="314"/>
        <v>2.4517843944695691E-2</v>
      </c>
      <c r="BW187" s="463">
        <f t="shared" si="315"/>
        <v>0</v>
      </c>
      <c r="BX187" s="463"/>
      <c r="BY187" s="463">
        <f t="shared" si="316"/>
        <v>3.4222222222222237E-2</v>
      </c>
      <c r="BZ187" s="147">
        <f t="shared" si="317"/>
        <v>114.37407945069417</v>
      </c>
      <c r="CA187" s="153">
        <f t="shared" si="318"/>
        <v>0.20457116129849967</v>
      </c>
      <c r="CB187" s="5">
        <f t="shared" si="319"/>
        <v>1.5400000000000003</v>
      </c>
      <c r="CC187" s="153">
        <f t="shared" si="320"/>
        <v>0.88273842544420167</v>
      </c>
      <c r="CD187" s="5">
        <f t="shared" si="321"/>
        <v>88.273842544420162</v>
      </c>
      <c r="CG187" s="59">
        <f t="shared" si="356"/>
        <v>-50</v>
      </c>
      <c r="CH187">
        <f t="shared" si="357"/>
        <v>-50</v>
      </c>
    </row>
    <row r="188" spans="5:86" x14ac:dyDescent="0.25">
      <c r="E188" s="150">
        <v>78</v>
      </c>
      <c r="F188" s="191">
        <f t="shared" si="358"/>
        <v>7.8000000000000014E-2</v>
      </c>
      <c r="G188" s="191"/>
      <c r="H188" s="191">
        <f t="shared" si="322"/>
        <v>1.5600000000000003</v>
      </c>
      <c r="I188" s="472">
        <f t="shared" si="323"/>
        <v>9</v>
      </c>
      <c r="J188" s="386">
        <f t="shared" si="324"/>
        <v>20.32</v>
      </c>
      <c r="K188" s="386">
        <f t="shared" si="325"/>
        <v>29.32</v>
      </c>
      <c r="L188" s="386"/>
      <c r="M188" s="191">
        <f t="shared" si="326"/>
        <v>0.69304229195088674</v>
      </c>
      <c r="N188" s="152">
        <f t="shared" si="327"/>
        <v>2.1101682401091408</v>
      </c>
      <c r="O188" s="152">
        <f t="shared" si="262"/>
        <v>1.5600000000000003</v>
      </c>
      <c r="P188" s="191">
        <f t="shared" si="328"/>
        <v>0.10550841200545705</v>
      </c>
      <c r="Q188" s="191">
        <f t="shared" si="329"/>
        <v>20</v>
      </c>
      <c r="R188" s="191"/>
      <c r="S188" s="152">
        <f t="shared" si="330"/>
        <v>30.037178170184593</v>
      </c>
      <c r="T188" s="152">
        <f t="shared" si="331"/>
        <v>20</v>
      </c>
      <c r="U188" s="191">
        <f t="shared" si="332"/>
        <v>0.55578885972586778</v>
      </c>
      <c r="V188" s="191">
        <f t="shared" si="333"/>
        <v>9.2631476620977953</v>
      </c>
      <c r="W188" s="191">
        <f t="shared" si="334"/>
        <v>4.1027720944330781</v>
      </c>
      <c r="X188" s="175">
        <f t="shared" si="335"/>
        <v>277.21691678035478</v>
      </c>
      <c r="Y188" s="386">
        <f t="shared" si="303"/>
        <v>74.817148255837651</v>
      </c>
      <c r="AA188" s="191">
        <f t="shared" si="336"/>
        <v>0.14999999999999997</v>
      </c>
      <c r="AB188" s="153">
        <f t="shared" si="337"/>
        <v>1.1072834645669287</v>
      </c>
      <c r="AC188" s="153">
        <f t="shared" si="338"/>
        <v>2.3021828103683487E-2</v>
      </c>
      <c r="AD188" s="153"/>
      <c r="AE188" s="153">
        <f t="shared" si="339"/>
        <v>1.1072834645669289</v>
      </c>
      <c r="AF188" s="317">
        <f t="shared" si="340"/>
        <v>939.23555555555572</v>
      </c>
      <c r="AG188" s="463">
        <f t="shared" si="341"/>
        <v>2.3021828103683497E-2</v>
      </c>
      <c r="AI188" s="153">
        <f t="shared" si="342"/>
        <v>0.24572225900684819</v>
      </c>
      <c r="AJ188" s="153">
        <f t="shared" si="343"/>
        <v>0.55578885972586778</v>
      </c>
      <c r="AK188" s="153">
        <f t="shared" si="344"/>
        <v>1.4705259064839118</v>
      </c>
      <c r="AM188" s="317">
        <f t="shared" si="345"/>
        <v>78.000000000000014</v>
      </c>
      <c r="AN188" s="147">
        <f t="shared" si="346"/>
        <v>74.817148255837651</v>
      </c>
      <c r="AP188">
        <f t="shared" si="347"/>
        <v>78.000000000000014</v>
      </c>
      <c r="AQ188">
        <f t="shared" si="348"/>
        <v>74.817148255837651</v>
      </c>
      <c r="AS188" s="5">
        <f t="shared" si="263"/>
        <v>13.365919756530875</v>
      </c>
      <c r="AT188" s="5">
        <f t="shared" si="349"/>
        <v>9.2631476620977953</v>
      </c>
      <c r="AU188" s="5">
        <f t="shared" si="304"/>
        <v>4.1027720944330799</v>
      </c>
      <c r="AV188" s="5"/>
      <c r="AW188" s="153">
        <f t="shared" si="305"/>
        <v>0.69304229195088674</v>
      </c>
      <c r="AX188" s="153">
        <f t="shared" si="259"/>
        <v>1.7333333333333336</v>
      </c>
      <c r="AY188" s="153">
        <f t="shared" si="260"/>
        <v>8.5301837270341241E-2</v>
      </c>
      <c r="AZ188" s="153">
        <f t="shared" si="264"/>
        <v>20.319999999999997</v>
      </c>
      <c r="BA188" s="147">
        <f t="shared" si="350"/>
        <v>7.5578700647486725</v>
      </c>
      <c r="BB188" s="147">
        <f t="shared" si="351"/>
        <v>34.937158533333339</v>
      </c>
      <c r="BC188" s="5">
        <f t="shared" si="359"/>
        <v>0.79016351448340805</v>
      </c>
      <c r="BD188" s="147">
        <f t="shared" si="352"/>
        <v>79.594129226118582</v>
      </c>
      <c r="BF188" s="153">
        <f t="shared" si="265"/>
        <v>0.2671339457134887</v>
      </c>
      <c r="BG188" s="153">
        <f t="shared" si="261"/>
        <v>0.17778228421115624</v>
      </c>
      <c r="BI188" s="463">
        <f t="shared" si="306"/>
        <v>2.4976190733359993E-2</v>
      </c>
      <c r="BJ188" s="463">
        <f t="shared" si="307"/>
        <v>6.0959999999999999E-3</v>
      </c>
      <c r="BK188" s="463">
        <f t="shared" si="308"/>
        <v>9.3521435319797062E-4</v>
      </c>
      <c r="BL188" s="463">
        <f t="shared" si="309"/>
        <v>3.2158744615384607E-3</v>
      </c>
      <c r="BM188">
        <f t="shared" si="310"/>
        <v>2.6099999999999999E-3</v>
      </c>
      <c r="BN188">
        <f t="shared" si="353"/>
        <v>7.4817148255837649E-7</v>
      </c>
      <c r="BO188" s="463">
        <f t="shared" si="354"/>
        <v>4.1396573315732793E-2</v>
      </c>
      <c r="BP188" s="147">
        <f t="shared" si="311"/>
        <v>37.833279548096428</v>
      </c>
      <c r="BQ188" s="463">
        <f t="shared" si="355"/>
        <v>5.3943397002612969E-2</v>
      </c>
      <c r="BT188" s="147">
        <f t="shared" si="312"/>
        <v>53.943397002612969</v>
      </c>
      <c r="BU188" s="463">
        <f t="shared" si="313"/>
        <v>5.7088435961965701E-2</v>
      </c>
      <c r="BV188" s="463">
        <f t="shared" si="314"/>
        <v>2.515880630115172E-2</v>
      </c>
      <c r="BW188" s="463">
        <f t="shared" si="315"/>
        <v>0</v>
      </c>
      <c r="BX188" s="463"/>
      <c r="BY188" s="463">
        <f t="shared" si="316"/>
        <v>3.4666666666666679E-2</v>
      </c>
      <c r="BZ188" s="147">
        <f t="shared" si="317"/>
        <v>116.9139089297841</v>
      </c>
      <c r="CA188" s="153">
        <f t="shared" si="318"/>
        <v>0.20869058548049349</v>
      </c>
      <c r="CB188" s="5">
        <f t="shared" si="319"/>
        <v>1.5600000000000003</v>
      </c>
      <c r="CC188" s="153">
        <f t="shared" si="320"/>
        <v>0.88200842635016385</v>
      </c>
      <c r="CD188" s="5">
        <f t="shared" si="321"/>
        <v>88.200842635016386</v>
      </c>
      <c r="CG188" s="59">
        <f t="shared" si="356"/>
        <v>-50</v>
      </c>
      <c r="CH188">
        <f t="shared" si="357"/>
        <v>-50</v>
      </c>
    </row>
    <row r="189" spans="5:86" x14ac:dyDescent="0.25">
      <c r="E189" s="150">
        <v>79</v>
      </c>
      <c r="F189" s="191">
        <f t="shared" si="358"/>
        <v>7.9000000000000015E-2</v>
      </c>
      <c r="G189" s="191"/>
      <c r="H189" s="191">
        <f t="shared" si="322"/>
        <v>1.5800000000000003</v>
      </c>
      <c r="I189" s="472">
        <f t="shared" si="323"/>
        <v>9</v>
      </c>
      <c r="J189" s="386">
        <f t="shared" si="324"/>
        <v>20.32</v>
      </c>
      <c r="K189" s="386">
        <f t="shared" si="325"/>
        <v>29.32</v>
      </c>
      <c r="L189" s="386"/>
      <c r="M189" s="191">
        <f t="shared" si="326"/>
        <v>0.69304229195088674</v>
      </c>
      <c r="N189" s="152">
        <f t="shared" si="327"/>
        <v>2.1101682401091408</v>
      </c>
      <c r="O189" s="152">
        <f t="shared" si="262"/>
        <v>1.5800000000000003</v>
      </c>
      <c r="P189" s="191">
        <f t="shared" si="328"/>
        <v>0.10550841200545705</v>
      </c>
      <c r="Q189" s="191">
        <f t="shared" si="329"/>
        <v>20</v>
      </c>
      <c r="R189" s="191"/>
      <c r="S189" s="152">
        <f t="shared" si="330"/>
        <v>29.545798463229829</v>
      </c>
      <c r="T189" s="152">
        <f t="shared" si="331"/>
        <v>20</v>
      </c>
      <c r="U189" s="191">
        <f t="shared" si="332"/>
        <v>0.56291435792748146</v>
      </c>
      <c r="V189" s="191">
        <f t="shared" si="333"/>
        <v>9.3819059654580244</v>
      </c>
      <c r="W189" s="191">
        <f t="shared" si="334"/>
        <v>4.1553717366693999</v>
      </c>
      <c r="X189" s="175">
        <f t="shared" si="335"/>
        <v>277.21691678035478</v>
      </c>
      <c r="Y189" s="386">
        <f t="shared" si="303"/>
        <v>73.870095746270096</v>
      </c>
      <c r="AA189" s="191">
        <f t="shared" si="336"/>
        <v>0.14999999999999997</v>
      </c>
      <c r="AB189" s="153">
        <f t="shared" si="337"/>
        <v>1.1072834645669287</v>
      </c>
      <c r="AC189" s="153">
        <f t="shared" si="338"/>
        <v>2.3021828103683487E-2</v>
      </c>
      <c r="AD189" s="153"/>
      <c r="AE189" s="153">
        <f t="shared" si="339"/>
        <v>1.1072834645669289</v>
      </c>
      <c r="AF189" s="317">
        <f t="shared" si="340"/>
        <v>951.2770370370373</v>
      </c>
      <c r="AG189" s="463">
        <f t="shared" si="341"/>
        <v>2.3021828103683497E-2</v>
      </c>
      <c r="AI189" s="153">
        <f t="shared" si="342"/>
        <v>0.24729238526392969</v>
      </c>
      <c r="AJ189" s="153">
        <f t="shared" si="343"/>
        <v>0.56291435792748146</v>
      </c>
      <c r="AK189" s="153">
        <f t="shared" si="344"/>
        <v>1.4752762386183209</v>
      </c>
      <c r="AM189" s="317">
        <f t="shared" si="345"/>
        <v>79.000000000000014</v>
      </c>
      <c r="AN189" s="147">
        <f t="shared" si="346"/>
        <v>73.870095746270096</v>
      </c>
      <c r="AP189">
        <f t="shared" si="347"/>
        <v>79.000000000000014</v>
      </c>
      <c r="AQ189">
        <f t="shared" si="348"/>
        <v>73.870095746270096</v>
      </c>
      <c r="AS189" s="5">
        <f t="shared" si="263"/>
        <v>13.537277702127424</v>
      </c>
      <c r="AT189" s="5">
        <f t="shared" si="349"/>
        <v>9.3819059654580244</v>
      </c>
      <c r="AU189" s="5">
        <f t="shared" si="304"/>
        <v>4.1553717366693999</v>
      </c>
      <c r="AV189" s="5"/>
      <c r="AW189" s="153">
        <f t="shared" si="305"/>
        <v>0.69304229195088685</v>
      </c>
      <c r="AX189" s="153">
        <f t="shared" si="259"/>
        <v>1.7555555555555562</v>
      </c>
      <c r="AY189" s="153">
        <f t="shared" si="260"/>
        <v>8.6395450568678922E-2</v>
      </c>
      <c r="AZ189" s="153">
        <f t="shared" si="264"/>
        <v>20.320000000000007</v>
      </c>
      <c r="BA189" s="147">
        <f t="shared" si="350"/>
        <v>7.5578700647486725</v>
      </c>
      <c r="BB189" s="147">
        <f t="shared" si="351"/>
        <v>35.835687114814831</v>
      </c>
      <c r="BC189" s="5">
        <f t="shared" si="359"/>
        <v>0.81055399307872256</v>
      </c>
      <c r="BD189" s="147">
        <f t="shared" si="352"/>
        <v>81.640584493057446</v>
      </c>
      <c r="BF189" s="153">
        <f t="shared" si="265"/>
        <v>0.27055873988930268</v>
      </c>
      <c r="BG189" s="153">
        <f t="shared" si="261"/>
        <v>0.18006154426514537</v>
      </c>
      <c r="BI189" s="463">
        <f t="shared" si="306"/>
        <v>2.5620711105670567E-2</v>
      </c>
      <c r="BJ189" s="463">
        <f t="shared" si="307"/>
        <v>6.0959999999999999E-3</v>
      </c>
      <c r="BK189" s="463">
        <f t="shared" si="308"/>
        <v>9.2337619682837614E-4</v>
      </c>
      <c r="BL189" s="463">
        <f t="shared" si="309"/>
        <v>3.1751671898734178E-3</v>
      </c>
      <c r="BM189">
        <f t="shared" si="310"/>
        <v>2.6099999999999999E-3</v>
      </c>
      <c r="BN189">
        <f t="shared" si="353"/>
        <v>7.3870095746270095E-7</v>
      </c>
      <c r="BO189" s="463">
        <f t="shared" si="354"/>
        <v>4.2083719828356611E-2</v>
      </c>
      <c r="BP189" s="147">
        <f t="shared" si="311"/>
        <v>38.42525449237236</v>
      </c>
      <c r="BQ189" s="463">
        <f t="shared" si="355"/>
        <v>5.4948530028485779E-2</v>
      </c>
      <c r="BT189" s="147">
        <f t="shared" si="312"/>
        <v>54.948530028485777</v>
      </c>
      <c r="BU189" s="463">
        <f t="shared" si="313"/>
        <v>5.8561625384389873E-2</v>
      </c>
      <c r="BV189" s="463">
        <f t="shared" si="314"/>
        <v>2.580803913962653E-2</v>
      </c>
      <c r="BW189" s="463">
        <f t="shared" si="315"/>
        <v>0</v>
      </c>
      <c r="BX189" s="463"/>
      <c r="BY189" s="463">
        <f t="shared" si="316"/>
        <v>3.5111111111111128E-2</v>
      </c>
      <c r="BZ189" s="147">
        <f t="shared" si="317"/>
        <v>119.48077563512751</v>
      </c>
      <c r="CA189" s="153">
        <f t="shared" si="318"/>
        <v>0.21285456015598567</v>
      </c>
      <c r="CB189" s="5">
        <f t="shared" si="319"/>
        <v>1.5800000000000003</v>
      </c>
      <c r="CC189" s="153">
        <f t="shared" si="320"/>
        <v>0.88127616992118618</v>
      </c>
      <c r="CD189" s="5">
        <f t="shared" si="321"/>
        <v>88.127616992118618</v>
      </c>
      <c r="CG189" s="59">
        <f t="shared" si="356"/>
        <v>-50</v>
      </c>
      <c r="CH189">
        <f t="shared" si="357"/>
        <v>-50</v>
      </c>
    </row>
    <row r="190" spans="5:86" x14ac:dyDescent="0.25">
      <c r="E190" s="150">
        <v>80</v>
      </c>
      <c r="F190" s="191">
        <f t="shared" si="358"/>
        <v>8.0000000000000016E-2</v>
      </c>
      <c r="G190" s="191"/>
      <c r="H190" s="191">
        <f t="shared" si="322"/>
        <v>1.6000000000000003</v>
      </c>
      <c r="I190" s="472">
        <f t="shared" si="323"/>
        <v>9</v>
      </c>
      <c r="J190" s="386">
        <f t="shared" si="324"/>
        <v>20.32</v>
      </c>
      <c r="K190" s="386">
        <f t="shared" si="325"/>
        <v>29.32</v>
      </c>
      <c r="L190" s="386"/>
      <c r="M190" s="191">
        <f t="shared" si="326"/>
        <v>0.69304229195088674</v>
      </c>
      <c r="N190" s="152">
        <f t="shared" si="327"/>
        <v>2.1101682401091408</v>
      </c>
      <c r="O190" s="152">
        <f t="shared" si="262"/>
        <v>1.6000000000000003</v>
      </c>
      <c r="P190" s="191">
        <f t="shared" si="328"/>
        <v>0.10550841200545705</v>
      </c>
      <c r="Q190" s="191">
        <f t="shared" si="329"/>
        <v>20</v>
      </c>
      <c r="R190" s="191"/>
      <c r="S190" s="152">
        <f t="shared" si="330"/>
        <v>29.066753340709642</v>
      </c>
      <c r="T190" s="152">
        <f t="shared" si="331"/>
        <v>20</v>
      </c>
      <c r="U190" s="191">
        <f t="shared" si="332"/>
        <v>0.57003985612909513</v>
      </c>
      <c r="V190" s="191">
        <f t="shared" si="333"/>
        <v>9.5006642688182499</v>
      </c>
      <c r="W190" s="191">
        <f t="shared" si="334"/>
        <v>4.2079713789057216</v>
      </c>
      <c r="X190" s="175">
        <f t="shared" si="335"/>
        <v>277.21691678035478</v>
      </c>
      <c r="Y190" s="386">
        <f t="shared" si="303"/>
        <v>72.946719549441724</v>
      </c>
      <c r="AA190" s="191">
        <f t="shared" si="336"/>
        <v>0.14999999999999997</v>
      </c>
      <c r="AB190" s="153">
        <f t="shared" si="337"/>
        <v>1.1072834645669287</v>
      </c>
      <c r="AC190" s="153">
        <f t="shared" si="338"/>
        <v>2.3021828103683487E-2</v>
      </c>
      <c r="AD190" s="153"/>
      <c r="AE190" s="153">
        <f t="shared" si="339"/>
        <v>1.1072834645669289</v>
      </c>
      <c r="AF190" s="317">
        <f t="shared" si="340"/>
        <v>963.31851851851877</v>
      </c>
      <c r="AG190" s="463">
        <f t="shared" si="341"/>
        <v>2.3021828103683497E-2</v>
      </c>
      <c r="AI190" s="153">
        <f t="shared" si="342"/>
        <v>0.24885260506496426</v>
      </c>
      <c r="AJ190" s="153">
        <f t="shared" si="343"/>
        <v>0.57003985612909513</v>
      </c>
      <c r="AK190" s="153">
        <f t="shared" si="344"/>
        <v>1.48002657075273</v>
      </c>
      <c r="AM190" s="317">
        <f t="shared" si="345"/>
        <v>80.000000000000014</v>
      </c>
      <c r="AN190" s="147">
        <f t="shared" si="346"/>
        <v>72.946719549441724</v>
      </c>
      <c r="AP190">
        <f t="shared" si="347"/>
        <v>80.000000000000014</v>
      </c>
      <c r="AQ190">
        <f t="shared" si="348"/>
        <v>72.946719549441724</v>
      </c>
      <c r="AS190" s="5">
        <f t="shared" si="263"/>
        <v>13.708635647723971</v>
      </c>
      <c r="AT190" s="5">
        <f t="shared" si="349"/>
        <v>9.5006642688182499</v>
      </c>
      <c r="AU190" s="5">
        <f t="shared" si="304"/>
        <v>4.2079713789057216</v>
      </c>
      <c r="AV190" s="5"/>
      <c r="AW190" s="153">
        <f t="shared" si="305"/>
        <v>0.69304229195088674</v>
      </c>
      <c r="AX190" s="153">
        <f t="shared" si="259"/>
        <v>1.7777777777777786</v>
      </c>
      <c r="AY190" s="153">
        <f t="shared" si="260"/>
        <v>8.7489063867016659E-2</v>
      </c>
      <c r="AZ190" s="153">
        <f t="shared" si="264"/>
        <v>20.32</v>
      </c>
      <c r="BA190" s="147">
        <f t="shared" si="350"/>
        <v>7.5578700647486725</v>
      </c>
      <c r="BB190" s="147">
        <f t="shared" si="351"/>
        <v>36.745623703703714</v>
      </c>
      <c r="BC190" s="5">
        <f t="shared" si="359"/>
        <v>0.83120422299372299</v>
      </c>
      <c r="BD190" s="147">
        <f t="shared" si="352"/>
        <v>83.713014891964889</v>
      </c>
      <c r="BF190" s="153">
        <f t="shared" si="265"/>
        <v>0.27398353406511655</v>
      </c>
      <c r="BG190" s="153">
        <f t="shared" si="261"/>
        <v>0.1823408043191346</v>
      </c>
      <c r="BI190" s="463">
        <f t="shared" si="306"/>
        <v>2.6273441928583809E-2</v>
      </c>
      <c r="BJ190" s="463">
        <f t="shared" si="307"/>
        <v>6.0959999999999999E-3</v>
      </c>
      <c r="BK190" s="463">
        <f t="shared" si="308"/>
        <v>9.1183399436802143E-4</v>
      </c>
      <c r="BL190" s="463">
        <f t="shared" si="309"/>
        <v>3.1354776E-3</v>
      </c>
      <c r="BM190">
        <f t="shared" si="310"/>
        <v>2.6099999999999999E-3</v>
      </c>
      <c r="BN190">
        <f t="shared" si="353"/>
        <v>7.2946719549441723E-7</v>
      </c>
      <c r="BO190" s="463">
        <f t="shared" si="354"/>
        <v>4.2781780192432547E-2</v>
      </c>
      <c r="BP190" s="147">
        <f t="shared" si="311"/>
        <v>39.026753522951822</v>
      </c>
      <c r="BQ190" s="463">
        <f t="shared" si="355"/>
        <v>5.5961601054688198E-2</v>
      </c>
      <c r="BT190" s="147">
        <f t="shared" si="312"/>
        <v>55.961601054688195</v>
      </c>
      <c r="BU190" s="463">
        <f t="shared" si="313"/>
        <v>6.0053581551048708E-2</v>
      </c>
      <c r="BV190" s="463">
        <f t="shared" si="314"/>
        <v>2.6465542460120155E-2</v>
      </c>
      <c r="BW190" s="463">
        <f t="shared" si="315"/>
        <v>0</v>
      </c>
      <c r="BX190" s="463"/>
      <c r="BY190" s="463">
        <f t="shared" si="316"/>
        <v>3.5555555555555583E-2</v>
      </c>
      <c r="BZ190" s="147">
        <f t="shared" si="317"/>
        <v>122.07467956672444</v>
      </c>
      <c r="CA190" s="153">
        <f t="shared" si="318"/>
        <v>0.21706303414436445</v>
      </c>
      <c r="CB190" s="5">
        <f t="shared" si="319"/>
        <v>1.6000000000000003</v>
      </c>
      <c r="CC190" s="153">
        <f t="shared" si="320"/>
        <v>0.88054182487588983</v>
      </c>
      <c r="CD190" s="5">
        <f t="shared" si="321"/>
        <v>88.054182487588989</v>
      </c>
      <c r="CG190" s="59">
        <f t="shared" si="356"/>
        <v>-50</v>
      </c>
      <c r="CH190">
        <f t="shared" si="357"/>
        <v>-50</v>
      </c>
    </row>
    <row r="191" spans="5:86" x14ac:dyDescent="0.25">
      <c r="E191" s="150">
        <v>81</v>
      </c>
      <c r="F191" s="191">
        <f t="shared" si="358"/>
        <v>8.1000000000000016E-2</v>
      </c>
      <c r="G191" s="191"/>
      <c r="H191" s="191">
        <f t="shared" si="322"/>
        <v>1.6200000000000003</v>
      </c>
      <c r="I191" s="472">
        <f t="shared" si="323"/>
        <v>9</v>
      </c>
      <c r="J191" s="386">
        <f t="shared" si="324"/>
        <v>20.32</v>
      </c>
      <c r="K191" s="386">
        <f t="shared" si="325"/>
        <v>29.32</v>
      </c>
      <c r="L191" s="386"/>
      <c r="M191" s="191">
        <f t="shared" si="326"/>
        <v>0.69304229195088674</v>
      </c>
      <c r="N191" s="152">
        <f t="shared" si="327"/>
        <v>2.1101682401091408</v>
      </c>
      <c r="O191" s="152">
        <f t="shared" si="262"/>
        <v>1.6200000000000003</v>
      </c>
      <c r="P191" s="191">
        <f t="shared" si="328"/>
        <v>0.10550841200545705</v>
      </c>
      <c r="Q191" s="191">
        <f t="shared" si="329"/>
        <v>20</v>
      </c>
      <c r="R191" s="191"/>
      <c r="S191" s="152">
        <f t="shared" si="330"/>
        <v>28.599586486182154</v>
      </c>
      <c r="T191" s="152">
        <f t="shared" si="331"/>
        <v>20</v>
      </c>
      <c r="U191" s="191">
        <f t="shared" si="332"/>
        <v>0.57716535433070881</v>
      </c>
      <c r="V191" s="191">
        <f t="shared" si="333"/>
        <v>9.619422572178479</v>
      </c>
      <c r="W191" s="191">
        <f t="shared" si="334"/>
        <v>4.2605710211420424</v>
      </c>
      <c r="X191" s="175">
        <f t="shared" si="335"/>
        <v>277.21691678035478</v>
      </c>
      <c r="Y191" s="386">
        <f t="shared" si="303"/>
        <v>72.046142764880727</v>
      </c>
      <c r="AA191" s="191">
        <f t="shared" si="336"/>
        <v>0.14999999999999997</v>
      </c>
      <c r="AB191" s="153">
        <f t="shared" si="337"/>
        <v>1.1072834645669287</v>
      </c>
      <c r="AC191" s="153">
        <f t="shared" si="338"/>
        <v>2.3021828103683487E-2</v>
      </c>
      <c r="AD191" s="153"/>
      <c r="AE191" s="153">
        <f t="shared" si="339"/>
        <v>1.1072834645669289</v>
      </c>
      <c r="AF191" s="317">
        <f t="shared" si="340"/>
        <v>975.36000000000024</v>
      </c>
      <c r="AG191" s="463">
        <f t="shared" si="341"/>
        <v>2.3021828103683497E-2</v>
      </c>
      <c r="AI191" s="153">
        <f t="shared" si="342"/>
        <v>0.25040310358642581</v>
      </c>
      <c r="AJ191" s="153">
        <f t="shared" si="343"/>
        <v>0.57716535433070881</v>
      </c>
      <c r="AK191" s="153">
        <f t="shared" si="344"/>
        <v>1.4847769028871391</v>
      </c>
      <c r="AM191" s="317">
        <f t="shared" si="345"/>
        <v>81.000000000000014</v>
      </c>
      <c r="AN191" s="147">
        <f t="shared" si="346"/>
        <v>72.046142764880727</v>
      </c>
      <c r="AP191">
        <f t="shared" si="347"/>
        <v>81.000000000000014</v>
      </c>
      <c r="AQ191">
        <f t="shared" si="348"/>
        <v>72.046142764880727</v>
      </c>
      <c r="AS191" s="5">
        <f t="shared" si="263"/>
        <v>13.879993593320521</v>
      </c>
      <c r="AT191" s="5">
        <f t="shared" si="349"/>
        <v>9.619422572178479</v>
      </c>
      <c r="AU191" s="5">
        <f t="shared" si="304"/>
        <v>4.2605710211420416</v>
      </c>
      <c r="AV191" s="5"/>
      <c r="AW191" s="153">
        <f t="shared" si="305"/>
        <v>0.69304229195088685</v>
      </c>
      <c r="AX191" s="153">
        <f t="shared" si="259"/>
        <v>1.8000000000000007</v>
      </c>
      <c r="AY191" s="153">
        <f t="shared" si="260"/>
        <v>8.8582677165354326E-2</v>
      </c>
      <c r="AZ191" s="153">
        <f t="shared" si="264"/>
        <v>20.320000000000007</v>
      </c>
      <c r="BA191" s="147">
        <f t="shared" si="350"/>
        <v>7.5578700647486725</v>
      </c>
      <c r="BB191" s="147">
        <f t="shared" si="351"/>
        <v>37.666968300000008</v>
      </c>
      <c r="BC191" s="5">
        <f t="shared" si="359"/>
        <v>0.85211420422840845</v>
      </c>
      <c r="BD191" s="147">
        <f t="shared" si="352"/>
        <v>85.81142042284084</v>
      </c>
      <c r="BF191" s="153">
        <f t="shared" si="265"/>
        <v>0.27740832824093054</v>
      </c>
      <c r="BG191" s="153">
        <f t="shared" si="261"/>
        <v>0.18462006437312373</v>
      </c>
      <c r="BI191" s="463">
        <f t="shared" si="306"/>
        <v>2.6934383202099749E-2</v>
      </c>
      <c r="BJ191" s="463">
        <f t="shared" si="307"/>
        <v>6.0960000000000025E-3</v>
      </c>
      <c r="BK191" s="463">
        <f t="shared" si="308"/>
        <v>9.0057678456100909E-4</v>
      </c>
      <c r="BL191" s="463">
        <f t="shared" si="309"/>
        <v>3.0967680000000006E-3</v>
      </c>
      <c r="BM191">
        <f t="shared" si="310"/>
        <v>2.6099999999999999E-3</v>
      </c>
      <c r="BN191">
        <f t="shared" si="353"/>
        <v>7.204614276488073E-7</v>
      </c>
      <c r="BO191" s="463">
        <f t="shared" si="354"/>
        <v>4.3490712653876801E-2</v>
      </c>
      <c r="BP191" s="147">
        <f t="shared" si="311"/>
        <v>39.637727986660757</v>
      </c>
      <c r="BQ191" s="463">
        <f t="shared" si="355"/>
        <v>5.6982610081220179E-2</v>
      </c>
      <c r="BT191" s="147">
        <f t="shared" si="312"/>
        <v>56.98261008122018</v>
      </c>
      <c r="BU191" s="463">
        <f t="shared" si="313"/>
        <v>6.156430446194229E-2</v>
      </c>
      <c r="BV191" s="463">
        <f t="shared" si="314"/>
        <v>2.7131316262632533E-2</v>
      </c>
      <c r="BW191" s="463">
        <f t="shared" si="315"/>
        <v>0</v>
      </c>
      <c r="BX191" s="463"/>
      <c r="BY191" s="463">
        <f t="shared" si="316"/>
        <v>3.6000000000000018E-2</v>
      </c>
      <c r="BZ191" s="147">
        <f t="shared" si="317"/>
        <v>124.69562072457484</v>
      </c>
      <c r="CA191" s="153">
        <f t="shared" si="318"/>
        <v>0.2213159587924558</v>
      </c>
      <c r="CB191" s="5">
        <f t="shared" si="319"/>
        <v>1.6200000000000003</v>
      </c>
      <c r="CC191" s="153">
        <f t="shared" si="320"/>
        <v>0.87980555008191219</v>
      </c>
      <c r="CD191" s="5">
        <f t="shared" si="321"/>
        <v>87.980555008191217</v>
      </c>
      <c r="CG191" s="59">
        <f t="shared" si="356"/>
        <v>-50</v>
      </c>
      <c r="CH191">
        <f t="shared" si="357"/>
        <v>-50</v>
      </c>
    </row>
    <row r="192" spans="5:86" x14ac:dyDescent="0.25">
      <c r="E192" s="150">
        <v>82</v>
      </c>
      <c r="F192" s="191">
        <f t="shared" si="358"/>
        <v>8.2000000000000003E-2</v>
      </c>
      <c r="G192" s="191"/>
      <c r="H192" s="191">
        <f t="shared" si="322"/>
        <v>1.6400000000000001</v>
      </c>
      <c r="I192" s="472">
        <f t="shared" si="323"/>
        <v>9</v>
      </c>
      <c r="J192" s="386">
        <f t="shared" si="324"/>
        <v>20.32</v>
      </c>
      <c r="K192" s="386">
        <f t="shared" si="325"/>
        <v>29.32</v>
      </c>
      <c r="L192" s="386"/>
      <c r="M192" s="191">
        <f t="shared" si="326"/>
        <v>0.69304229195088674</v>
      </c>
      <c r="N192" s="152">
        <f t="shared" si="327"/>
        <v>2.1101682401091408</v>
      </c>
      <c r="O192" s="152">
        <f t="shared" si="262"/>
        <v>1.6400000000000001</v>
      </c>
      <c r="P192" s="191">
        <f t="shared" si="328"/>
        <v>0.10550841200545705</v>
      </c>
      <c r="Q192" s="191">
        <f t="shared" si="329"/>
        <v>20</v>
      </c>
      <c r="R192" s="191"/>
      <c r="S192" s="152">
        <f t="shared" si="330"/>
        <v>28.143863849252618</v>
      </c>
      <c r="T192" s="152">
        <f t="shared" si="331"/>
        <v>20</v>
      </c>
      <c r="U192" s="191">
        <f t="shared" si="332"/>
        <v>0.58429085253232249</v>
      </c>
      <c r="V192" s="191">
        <f t="shared" si="333"/>
        <v>9.738180875538708</v>
      </c>
      <c r="W192" s="191">
        <f t="shared" si="334"/>
        <v>4.3131706633783642</v>
      </c>
      <c r="X192" s="175">
        <f t="shared" si="335"/>
        <v>277.21691678035478</v>
      </c>
      <c r="Y192" s="386">
        <f t="shared" si="303"/>
        <v>71.167531267748018</v>
      </c>
      <c r="AA192" s="191">
        <f t="shared" si="336"/>
        <v>0.14999999999999997</v>
      </c>
      <c r="AB192" s="153">
        <f t="shared" si="337"/>
        <v>1.1072834645669287</v>
      </c>
      <c r="AC192" s="153">
        <f t="shared" si="338"/>
        <v>2.3021828103683487E-2</v>
      </c>
      <c r="AD192" s="153"/>
      <c r="AE192" s="153">
        <f t="shared" si="339"/>
        <v>1.1072834645669289</v>
      </c>
      <c r="AF192" s="317">
        <f t="shared" si="340"/>
        <v>987.4014814814816</v>
      </c>
      <c r="AG192" s="463">
        <f t="shared" si="341"/>
        <v>2.3021828103683497E-2</v>
      </c>
      <c r="AI192" s="153">
        <f t="shared" si="342"/>
        <v>0.25194406030666716</v>
      </c>
      <c r="AJ192" s="153">
        <f t="shared" si="343"/>
        <v>0.58429085253232249</v>
      </c>
      <c r="AK192" s="153">
        <f t="shared" si="344"/>
        <v>1.4895272350215483</v>
      </c>
      <c r="AM192" s="317">
        <f t="shared" si="345"/>
        <v>82</v>
      </c>
      <c r="AN192" s="147">
        <f t="shared" si="346"/>
        <v>71.167531267748018</v>
      </c>
      <c r="AP192">
        <f t="shared" si="347"/>
        <v>82</v>
      </c>
      <c r="AQ192">
        <f t="shared" si="348"/>
        <v>71.167531267748018</v>
      </c>
      <c r="AS192" s="5">
        <f t="shared" si="263"/>
        <v>14.051351538917073</v>
      </c>
      <c r="AT192" s="5">
        <f t="shared" si="349"/>
        <v>9.738180875538708</v>
      </c>
      <c r="AU192" s="5">
        <f t="shared" si="304"/>
        <v>4.3131706633783651</v>
      </c>
      <c r="AV192" s="5"/>
      <c r="AW192" s="153">
        <f t="shared" si="305"/>
        <v>0.69304229195088674</v>
      </c>
      <c r="AX192" s="153">
        <f t="shared" si="259"/>
        <v>1.8222222222222226</v>
      </c>
      <c r="AY192" s="153">
        <f t="shared" si="260"/>
        <v>8.9676290463692063E-2</v>
      </c>
      <c r="AZ192" s="153">
        <f t="shared" si="264"/>
        <v>20.32</v>
      </c>
      <c r="BA192" s="147">
        <f t="shared" si="350"/>
        <v>7.5578700647486725</v>
      </c>
      <c r="BB192" s="147">
        <f t="shared" si="351"/>
        <v>38.599720903703705</v>
      </c>
      <c r="BC192" s="5">
        <f t="shared" si="359"/>
        <v>0.87328393678278027</v>
      </c>
      <c r="BD192" s="147">
        <f t="shared" si="352"/>
        <v>87.935801085685426</v>
      </c>
      <c r="BF192" s="153">
        <f t="shared" si="265"/>
        <v>0.28083312241674446</v>
      </c>
      <c r="BG192" s="153">
        <f t="shared" si="261"/>
        <v>0.18689932442711293</v>
      </c>
      <c r="BI192" s="463">
        <f t="shared" si="306"/>
        <v>2.7603534926218361E-2</v>
      </c>
      <c r="BJ192" s="463">
        <f t="shared" si="307"/>
        <v>6.0959999999999999E-3</v>
      </c>
      <c r="BK192" s="463">
        <f t="shared" si="308"/>
        <v>8.895941408468502E-4</v>
      </c>
      <c r="BL192" s="463">
        <f t="shared" si="309"/>
        <v>3.0590025365853655E-3</v>
      </c>
      <c r="BM192">
        <f t="shared" si="310"/>
        <v>2.6099999999999999E-3</v>
      </c>
      <c r="BN192">
        <f t="shared" si="353"/>
        <v>7.1167531267748016E-7</v>
      </c>
      <c r="BO192" s="463">
        <f t="shared" si="354"/>
        <v>4.421047792348818E-2</v>
      </c>
      <c r="BP192" s="147">
        <f t="shared" si="311"/>
        <v>40.258131603650575</v>
      </c>
      <c r="BQ192" s="463">
        <f t="shared" si="355"/>
        <v>5.8011557108081771E-2</v>
      </c>
      <c r="BT192" s="147">
        <f t="shared" si="312"/>
        <v>58.011557108081774</v>
      </c>
      <c r="BU192" s="463">
        <f t="shared" si="313"/>
        <v>6.3093794117070542E-2</v>
      </c>
      <c r="BV192" s="463">
        <f t="shared" si="314"/>
        <v>2.7805360547163729E-2</v>
      </c>
      <c r="BW192" s="463">
        <f t="shared" si="315"/>
        <v>0</v>
      </c>
      <c r="BX192" s="463"/>
      <c r="BY192" s="463">
        <f t="shared" si="316"/>
        <v>3.644444444444446E-2</v>
      </c>
      <c r="BZ192" s="147">
        <f t="shared" si="317"/>
        <v>127.34359910867873</v>
      </c>
      <c r="CA192" s="153">
        <f t="shared" si="318"/>
        <v>0.22561328782041107</v>
      </c>
      <c r="CB192" s="5">
        <f t="shared" si="319"/>
        <v>1.6400000000000001</v>
      </c>
      <c r="CC192" s="153">
        <f t="shared" si="320"/>
        <v>0.87906749523423777</v>
      </c>
      <c r="CD192" s="5">
        <f t="shared" si="321"/>
        <v>87.906749523423784</v>
      </c>
      <c r="CG192" s="59">
        <f t="shared" si="356"/>
        <v>-50</v>
      </c>
      <c r="CH192">
        <f t="shared" si="357"/>
        <v>-50</v>
      </c>
    </row>
    <row r="193" spans="5:86" x14ac:dyDescent="0.25">
      <c r="E193" s="150">
        <v>83</v>
      </c>
      <c r="F193" s="191">
        <f t="shared" si="358"/>
        <v>8.3000000000000004E-2</v>
      </c>
      <c r="G193" s="191"/>
      <c r="H193" s="191">
        <f t="shared" si="322"/>
        <v>1.6600000000000001</v>
      </c>
      <c r="I193" s="472">
        <f t="shared" si="323"/>
        <v>9</v>
      </c>
      <c r="J193" s="386">
        <f t="shared" si="324"/>
        <v>20.32</v>
      </c>
      <c r="K193" s="386">
        <f t="shared" si="325"/>
        <v>29.32</v>
      </c>
      <c r="L193" s="386"/>
      <c r="M193" s="191">
        <f t="shared" si="326"/>
        <v>0.69304229195088674</v>
      </c>
      <c r="N193" s="152">
        <f t="shared" si="327"/>
        <v>2.1101682401091408</v>
      </c>
      <c r="O193" s="152">
        <f t="shared" si="262"/>
        <v>1.6600000000000001</v>
      </c>
      <c r="P193" s="191">
        <f t="shared" si="328"/>
        <v>0.10550841200545705</v>
      </c>
      <c r="Q193" s="191">
        <f t="shared" si="329"/>
        <v>20</v>
      </c>
      <c r="R193" s="191"/>
      <c r="S193" s="152">
        <f t="shared" si="330"/>
        <v>27.699172304344142</v>
      </c>
      <c r="T193" s="152">
        <f t="shared" si="331"/>
        <v>20</v>
      </c>
      <c r="U193" s="191">
        <f t="shared" si="332"/>
        <v>0.59141635073393617</v>
      </c>
      <c r="V193" s="191">
        <f t="shared" si="333"/>
        <v>9.8569391788989336</v>
      </c>
      <c r="W193" s="191">
        <f t="shared" si="334"/>
        <v>4.3657703056146859</v>
      </c>
      <c r="X193" s="175">
        <f t="shared" si="335"/>
        <v>277.21691678035478</v>
      </c>
      <c r="Y193" s="386">
        <f t="shared" si="303"/>
        <v>70.310091131992039</v>
      </c>
      <c r="AA193" s="191">
        <f t="shared" si="336"/>
        <v>0.14999999999999997</v>
      </c>
      <c r="AB193" s="153">
        <f t="shared" si="337"/>
        <v>1.1072834645669287</v>
      </c>
      <c r="AC193" s="153">
        <f t="shared" si="338"/>
        <v>2.3021828103683487E-2</v>
      </c>
      <c r="AD193" s="153"/>
      <c r="AE193" s="153">
        <f t="shared" si="339"/>
        <v>1.1072834645669289</v>
      </c>
      <c r="AF193" s="317">
        <f t="shared" si="340"/>
        <v>999.44296296296307</v>
      </c>
      <c r="AG193" s="463">
        <f t="shared" si="341"/>
        <v>2.3021828103683497E-2</v>
      </c>
      <c r="AI193" s="153">
        <f t="shared" si="342"/>
        <v>0.25347564924841354</v>
      </c>
      <c r="AJ193" s="153">
        <f t="shared" si="343"/>
        <v>0.59141635073393617</v>
      </c>
      <c r="AK193" s="153">
        <f t="shared" si="344"/>
        <v>1.4942775671559574</v>
      </c>
      <c r="AM193" s="317">
        <f t="shared" si="345"/>
        <v>83</v>
      </c>
      <c r="AN193" s="147">
        <f t="shared" si="346"/>
        <v>70.310091131992039</v>
      </c>
      <c r="AP193">
        <f t="shared" si="347"/>
        <v>83</v>
      </c>
      <c r="AQ193">
        <f t="shared" si="348"/>
        <v>70.310091131992039</v>
      </c>
      <c r="AS193" s="5">
        <f t="shared" si="263"/>
        <v>14.222709484513619</v>
      </c>
      <c r="AT193" s="5">
        <f t="shared" si="349"/>
        <v>9.8569391788989336</v>
      </c>
      <c r="AU193" s="5">
        <f t="shared" si="304"/>
        <v>4.365770305614685</v>
      </c>
      <c r="AV193" s="5"/>
      <c r="AW193" s="153">
        <f t="shared" si="305"/>
        <v>0.69304229195088674</v>
      </c>
      <c r="AX193" s="153">
        <f t="shared" si="259"/>
        <v>1.8444444444444452</v>
      </c>
      <c r="AY193" s="153">
        <f t="shared" si="260"/>
        <v>9.0769903762029772E-2</v>
      </c>
      <c r="AZ193" s="153">
        <f t="shared" si="264"/>
        <v>20.320000000000004</v>
      </c>
      <c r="BA193" s="147">
        <f t="shared" si="350"/>
        <v>7.5578700647486725</v>
      </c>
      <c r="BB193" s="147">
        <f t="shared" si="351"/>
        <v>39.543881514814807</v>
      </c>
      <c r="BC193" s="5">
        <f t="shared" si="359"/>
        <v>0.89471342065683668</v>
      </c>
      <c r="BD193" s="147">
        <f t="shared" si="352"/>
        <v>90.086156880498493</v>
      </c>
      <c r="BF193" s="153">
        <f t="shared" si="265"/>
        <v>0.28425791659255845</v>
      </c>
      <c r="BG193" s="153">
        <f t="shared" si="261"/>
        <v>0.18917858448110211</v>
      </c>
      <c r="BI193" s="463">
        <f t="shared" si="306"/>
        <v>2.8280897100939669E-2</v>
      </c>
      <c r="BJ193" s="463">
        <f t="shared" si="307"/>
        <v>6.0960000000000016E-3</v>
      </c>
      <c r="BK193" s="463">
        <f t="shared" si="308"/>
        <v>8.7887613914990038E-4</v>
      </c>
      <c r="BL193" s="463">
        <f t="shared" si="309"/>
        <v>3.0221470843373502E-3</v>
      </c>
      <c r="BM193">
        <f t="shared" si="310"/>
        <v>2.6099999999999999E-3</v>
      </c>
      <c r="BN193">
        <f t="shared" si="353"/>
        <v>7.0310091131992044E-7</v>
      </c>
      <c r="BO193" s="463">
        <f t="shared" si="354"/>
        <v>4.494103903411345E-2</v>
      </c>
      <c r="BP193" s="147">
        <f t="shared" si="311"/>
        <v>40.887920324426922</v>
      </c>
      <c r="BQ193" s="463">
        <f t="shared" si="355"/>
        <v>5.9048442135272945E-2</v>
      </c>
      <c r="BT193" s="147">
        <f t="shared" si="312"/>
        <v>59.048442135272943</v>
      </c>
      <c r="BU193" s="463">
        <f t="shared" si="313"/>
        <v>6.4642050516433541E-2</v>
      </c>
      <c r="BV193" s="463">
        <f t="shared" si="314"/>
        <v>2.8487675313713698E-2</v>
      </c>
      <c r="BW193" s="463">
        <f t="shared" si="315"/>
        <v>0</v>
      </c>
      <c r="BX193" s="463"/>
      <c r="BY193" s="463">
        <f t="shared" si="316"/>
        <v>3.6888888888888909E-2</v>
      </c>
      <c r="BZ193" s="147">
        <f t="shared" si="317"/>
        <v>130.01861471903615</v>
      </c>
      <c r="CA193" s="153">
        <f t="shared" si="318"/>
        <v>0.22995497717873603</v>
      </c>
      <c r="CB193" s="5">
        <f t="shared" si="319"/>
        <v>1.6600000000000001</v>
      </c>
      <c r="CC193" s="153">
        <f t="shared" si="320"/>
        <v>0.87832780147916256</v>
      </c>
      <c r="CD193" s="5">
        <f t="shared" si="321"/>
        <v>87.832780147916253</v>
      </c>
      <c r="CG193" s="59">
        <f t="shared" si="356"/>
        <v>-50</v>
      </c>
      <c r="CH193">
        <f t="shared" si="357"/>
        <v>-50</v>
      </c>
    </row>
    <row r="194" spans="5:86" x14ac:dyDescent="0.25">
      <c r="E194" s="150">
        <v>84</v>
      </c>
      <c r="F194" s="191">
        <f t="shared" si="358"/>
        <v>8.4000000000000005E-2</v>
      </c>
      <c r="G194" s="191"/>
      <c r="H194" s="191">
        <f t="shared" si="322"/>
        <v>1.6800000000000002</v>
      </c>
      <c r="I194" s="472">
        <f t="shared" si="323"/>
        <v>9</v>
      </c>
      <c r="J194" s="386">
        <f t="shared" si="324"/>
        <v>20.32</v>
      </c>
      <c r="K194" s="386">
        <f t="shared" si="325"/>
        <v>29.32</v>
      </c>
      <c r="L194" s="386"/>
      <c r="M194" s="191">
        <f t="shared" si="326"/>
        <v>0.69304229195088674</v>
      </c>
      <c r="N194" s="152">
        <f t="shared" si="327"/>
        <v>2.1101682401091408</v>
      </c>
      <c r="O194" s="152">
        <f t="shared" si="262"/>
        <v>1.6800000000000002</v>
      </c>
      <c r="P194" s="191">
        <f t="shared" si="328"/>
        <v>0.10550841200545705</v>
      </c>
      <c r="Q194" s="191">
        <f t="shared" si="329"/>
        <v>20</v>
      </c>
      <c r="R194" s="191"/>
      <c r="S194" s="152">
        <f t="shared" si="330"/>
        <v>27.26511840527208</v>
      </c>
      <c r="T194" s="152">
        <f t="shared" si="331"/>
        <v>20</v>
      </c>
      <c r="U194" s="191">
        <f t="shared" si="332"/>
        <v>0.59854184893554985</v>
      </c>
      <c r="V194" s="191">
        <f t="shared" si="333"/>
        <v>9.9756974822591644</v>
      </c>
      <c r="W194" s="191">
        <f t="shared" si="334"/>
        <v>4.4183699478510077</v>
      </c>
      <c r="X194" s="175">
        <f t="shared" si="335"/>
        <v>277.21691678035478</v>
      </c>
      <c r="Y194" s="386">
        <f t="shared" si="303"/>
        <v>69.473066237563543</v>
      </c>
      <c r="AA194" s="191">
        <f t="shared" si="336"/>
        <v>0.14999999999999997</v>
      </c>
      <c r="AB194" s="153">
        <f t="shared" si="337"/>
        <v>1.1072834645669287</v>
      </c>
      <c r="AC194" s="153">
        <f t="shared" si="338"/>
        <v>2.3021828103683487E-2</v>
      </c>
      <c r="AD194" s="153"/>
      <c r="AE194" s="153">
        <f t="shared" si="339"/>
        <v>1.1072834645669289</v>
      </c>
      <c r="AF194" s="317">
        <f t="shared" si="340"/>
        <v>1011.4844444444446</v>
      </c>
      <c r="AG194" s="463">
        <f t="shared" si="341"/>
        <v>2.3021828103683497E-2</v>
      </c>
      <c r="AI194" s="153">
        <f t="shared" si="342"/>
        <v>0.25499803920814768</v>
      </c>
      <c r="AJ194" s="153">
        <f t="shared" si="343"/>
        <v>0.59854184893554985</v>
      </c>
      <c r="AK194" s="153">
        <f t="shared" si="344"/>
        <v>1.4990278992903665</v>
      </c>
      <c r="AM194" s="317">
        <f t="shared" si="345"/>
        <v>84</v>
      </c>
      <c r="AN194" s="147">
        <f t="shared" si="346"/>
        <v>69.473066237563543</v>
      </c>
      <c r="AP194">
        <f t="shared" si="347"/>
        <v>84</v>
      </c>
      <c r="AQ194">
        <f t="shared" si="348"/>
        <v>69.473066237563543</v>
      </c>
      <c r="AS194" s="5">
        <f t="shared" si="263"/>
        <v>14.394067430110171</v>
      </c>
      <c r="AT194" s="5">
        <f t="shared" si="349"/>
        <v>9.9756974822591644</v>
      </c>
      <c r="AU194" s="5">
        <f t="shared" si="304"/>
        <v>4.4183699478510068</v>
      </c>
      <c r="AV194" s="5"/>
      <c r="AW194" s="153">
        <f t="shared" si="305"/>
        <v>0.69304229195088685</v>
      </c>
      <c r="AX194" s="153">
        <f t="shared" si="259"/>
        <v>1.8666666666666669</v>
      </c>
      <c r="AY194" s="153">
        <f t="shared" si="260"/>
        <v>9.1863517060367453E-2</v>
      </c>
      <c r="AZ194" s="153">
        <f t="shared" si="264"/>
        <v>20.320000000000004</v>
      </c>
      <c r="BA194" s="147">
        <f t="shared" si="350"/>
        <v>7.5578700647486725</v>
      </c>
      <c r="BB194" s="147">
        <f t="shared" si="351"/>
        <v>40.499450133333333</v>
      </c>
      <c r="BC194" s="5">
        <f t="shared" si="359"/>
        <v>0.91640265585057912</v>
      </c>
      <c r="BD194" s="147">
        <f t="shared" si="352"/>
        <v>92.262487807280138</v>
      </c>
      <c r="BF194" s="153">
        <f t="shared" si="265"/>
        <v>0.28768271076837243</v>
      </c>
      <c r="BG194" s="153">
        <f t="shared" si="261"/>
        <v>0.19145784453509126</v>
      </c>
      <c r="BI194" s="463">
        <f t="shared" si="306"/>
        <v>2.8966469726263658E-2</v>
      </c>
      <c r="BJ194" s="463">
        <f t="shared" si="307"/>
        <v>6.0959999999999999E-3</v>
      </c>
      <c r="BK194" s="463">
        <f t="shared" si="308"/>
        <v>8.6841332796954427E-4</v>
      </c>
      <c r="BL194" s="463">
        <f t="shared" si="309"/>
        <v>2.9861691428571427E-3</v>
      </c>
      <c r="BM194">
        <f t="shared" si="310"/>
        <v>2.6099999999999999E-3</v>
      </c>
      <c r="BN194">
        <f t="shared" si="353"/>
        <v>6.9473066237563544E-7</v>
      </c>
      <c r="BO194" s="463">
        <f t="shared" si="354"/>
        <v>4.56823612080288E-2</v>
      </c>
      <c r="BP194" s="147">
        <f t="shared" si="311"/>
        <v>41.527052197090349</v>
      </c>
      <c r="BQ194" s="463">
        <f t="shared" si="355"/>
        <v>6.0093265162793709E-2</v>
      </c>
      <c r="BT194" s="147">
        <f t="shared" si="312"/>
        <v>60.093265162793706</v>
      </c>
      <c r="BU194" s="463">
        <f t="shared" si="313"/>
        <v>6.6209073660031231E-2</v>
      </c>
      <c r="BV194" s="463">
        <f t="shared" si="314"/>
        <v>2.9178260562282451E-2</v>
      </c>
      <c r="BW194" s="463">
        <f t="shared" si="315"/>
        <v>0</v>
      </c>
      <c r="BX194" s="463"/>
      <c r="BY194" s="463">
        <f t="shared" si="316"/>
        <v>3.7333333333333343E-2</v>
      </c>
      <c r="BZ194" s="147">
        <f t="shared" si="317"/>
        <v>132.72066755564705</v>
      </c>
      <c r="CA194" s="153">
        <f t="shared" si="318"/>
        <v>0.23434098491553107</v>
      </c>
      <c r="CB194" s="5">
        <f t="shared" si="319"/>
        <v>1.6800000000000002</v>
      </c>
      <c r="CC194" s="153">
        <f t="shared" si="320"/>
        <v>0.87758660198884519</v>
      </c>
      <c r="CD194" s="5">
        <f t="shared" si="321"/>
        <v>87.758660198884513</v>
      </c>
      <c r="CG194" s="59">
        <f t="shared" si="356"/>
        <v>-50</v>
      </c>
      <c r="CH194">
        <f t="shared" si="357"/>
        <v>-50</v>
      </c>
    </row>
    <row r="195" spans="5:86" x14ac:dyDescent="0.25">
      <c r="E195" s="150">
        <v>85</v>
      </c>
      <c r="F195" s="191">
        <f t="shared" si="358"/>
        <v>8.5000000000000006E-2</v>
      </c>
      <c r="G195" s="191"/>
      <c r="H195" s="191">
        <f t="shared" si="322"/>
        <v>1.7000000000000002</v>
      </c>
      <c r="I195" s="472">
        <f t="shared" si="323"/>
        <v>9</v>
      </c>
      <c r="J195" s="386">
        <f t="shared" si="324"/>
        <v>20.32</v>
      </c>
      <c r="K195" s="386">
        <f t="shared" si="325"/>
        <v>29.32</v>
      </c>
      <c r="L195" s="386"/>
      <c r="M195" s="191">
        <f t="shared" si="326"/>
        <v>0.69304229195088674</v>
      </c>
      <c r="N195" s="152">
        <f t="shared" si="327"/>
        <v>2.1101682401091408</v>
      </c>
      <c r="O195" s="152">
        <f t="shared" si="262"/>
        <v>1.7000000000000002</v>
      </c>
      <c r="P195" s="191">
        <f t="shared" si="328"/>
        <v>0.10550841200545705</v>
      </c>
      <c r="Q195" s="191">
        <f t="shared" si="329"/>
        <v>20</v>
      </c>
      <c r="R195" s="191"/>
      <c r="S195" s="152">
        <f t="shared" si="330"/>
        <v>26.841327227732325</v>
      </c>
      <c r="T195" s="152">
        <f t="shared" si="331"/>
        <v>20</v>
      </c>
      <c r="U195" s="191">
        <f t="shared" si="332"/>
        <v>0.60566734713716353</v>
      </c>
      <c r="V195" s="191">
        <f t="shared" si="333"/>
        <v>10.094455785619392</v>
      </c>
      <c r="W195" s="191">
        <f t="shared" si="334"/>
        <v>4.4709695900873294</v>
      </c>
      <c r="X195" s="175">
        <f t="shared" si="335"/>
        <v>277.21691678035478</v>
      </c>
      <c r="Y195" s="386">
        <f t="shared" si="303"/>
        <v>68.655736046533377</v>
      </c>
      <c r="AA195" s="191">
        <f t="shared" si="336"/>
        <v>0.14999999999999997</v>
      </c>
      <c r="AB195" s="153">
        <f t="shared" si="337"/>
        <v>1.1072834645669287</v>
      </c>
      <c r="AC195" s="153">
        <f t="shared" si="338"/>
        <v>2.3021828103683487E-2</v>
      </c>
      <c r="AD195" s="153"/>
      <c r="AE195" s="153">
        <f t="shared" si="339"/>
        <v>1.1072834645669289</v>
      </c>
      <c r="AF195" s="317">
        <f t="shared" si="340"/>
        <v>1023.5259259259261</v>
      </c>
      <c r="AG195" s="463">
        <f t="shared" si="341"/>
        <v>2.3021828103683497E-2</v>
      </c>
      <c r="AI195" s="153">
        <f t="shared" si="342"/>
        <v>0.25651139397324096</v>
      </c>
      <c r="AJ195" s="153">
        <f t="shared" si="343"/>
        <v>0.60566734713716353</v>
      </c>
      <c r="AK195" s="153">
        <f t="shared" si="344"/>
        <v>1.5037782314247756</v>
      </c>
      <c r="AM195" s="317">
        <f t="shared" si="345"/>
        <v>85</v>
      </c>
      <c r="AN195" s="147">
        <f t="shared" si="346"/>
        <v>68.655736046533377</v>
      </c>
      <c r="AP195">
        <f t="shared" si="347"/>
        <v>85</v>
      </c>
      <c r="AQ195">
        <f t="shared" si="348"/>
        <v>68.655736046533377</v>
      </c>
      <c r="AS195" s="5">
        <f t="shared" si="263"/>
        <v>14.565425375706722</v>
      </c>
      <c r="AT195" s="5">
        <f t="shared" si="349"/>
        <v>10.094455785619392</v>
      </c>
      <c r="AU195" s="5">
        <f t="shared" si="304"/>
        <v>4.4709695900873303</v>
      </c>
      <c r="AV195" s="5"/>
      <c r="AW195" s="153">
        <f t="shared" si="305"/>
        <v>0.69304229195088674</v>
      </c>
      <c r="AX195" s="153">
        <f t="shared" si="259"/>
        <v>1.8888888888888891</v>
      </c>
      <c r="AY195" s="153">
        <f t="shared" si="260"/>
        <v>9.2957130358705189E-2</v>
      </c>
      <c r="AZ195" s="153">
        <f t="shared" si="264"/>
        <v>20.319999999999997</v>
      </c>
      <c r="BA195" s="147">
        <f t="shared" si="350"/>
        <v>7.5578700647486725</v>
      </c>
      <c r="BB195" s="147">
        <f t="shared" si="351"/>
        <v>41.466426759259264</v>
      </c>
      <c r="BC195" s="5">
        <f t="shared" si="359"/>
        <v>0.9383516423640077</v>
      </c>
      <c r="BD195" s="147">
        <f t="shared" si="352"/>
        <v>94.464793866030405</v>
      </c>
      <c r="BF195" s="153">
        <f t="shared" si="265"/>
        <v>0.29110750494418636</v>
      </c>
      <c r="BG195" s="153">
        <f t="shared" si="261"/>
        <v>0.19373710458908047</v>
      </c>
      <c r="BI195" s="463">
        <f t="shared" si="306"/>
        <v>2.9660252802190319E-2</v>
      </c>
      <c r="BJ195" s="463">
        <f t="shared" si="307"/>
        <v>6.095999999999999E-3</v>
      </c>
      <c r="BK195" s="463">
        <f t="shared" si="308"/>
        <v>8.581967005816671E-4</v>
      </c>
      <c r="BL195" s="463">
        <f t="shared" si="309"/>
        <v>2.9510377411764701E-3</v>
      </c>
      <c r="BM195">
        <f t="shared" si="310"/>
        <v>2.6099999999999999E-3</v>
      </c>
      <c r="BN195">
        <f t="shared" si="353"/>
        <v>6.8655736046533378E-7</v>
      </c>
      <c r="BO195" s="463">
        <f t="shared" si="354"/>
        <v>4.6434411733696591E-2</v>
      </c>
      <c r="BP195" s="147">
        <f t="shared" si="311"/>
        <v>42.175487243948453</v>
      </c>
      <c r="BQ195" s="463">
        <f t="shared" si="355"/>
        <v>6.1146026190644083E-2</v>
      </c>
      <c r="BT195" s="147">
        <f t="shared" si="312"/>
        <v>61.146026190644086</v>
      </c>
      <c r="BU195" s="463">
        <f t="shared" si="313"/>
        <v>6.7794863547863599E-2</v>
      </c>
      <c r="BV195" s="463">
        <f t="shared" si="314"/>
        <v>2.9877116292870005E-2</v>
      </c>
      <c r="BW195" s="463">
        <f t="shared" si="315"/>
        <v>0</v>
      </c>
      <c r="BX195" s="463"/>
      <c r="BY195" s="463">
        <f t="shared" si="316"/>
        <v>3.7777777777777785E-2</v>
      </c>
      <c r="BZ195" s="147">
        <f t="shared" si="317"/>
        <v>135.4497576185114</v>
      </c>
      <c r="CA195" s="153">
        <f t="shared" si="318"/>
        <v>0.23877127105310392</v>
      </c>
      <c r="CB195" s="5">
        <f t="shared" si="319"/>
        <v>1.7000000000000002</v>
      </c>
      <c r="CC195" s="153">
        <f t="shared" si="320"/>
        <v>0.87684402249090077</v>
      </c>
      <c r="CD195" s="5">
        <f t="shared" si="321"/>
        <v>87.68440224909007</v>
      </c>
      <c r="CG195" s="59">
        <f t="shared" si="356"/>
        <v>-50</v>
      </c>
      <c r="CH195">
        <f t="shared" si="357"/>
        <v>-50</v>
      </c>
    </row>
    <row r="196" spans="5:86" x14ac:dyDescent="0.25">
      <c r="E196" s="150">
        <v>86</v>
      </c>
      <c r="F196" s="191">
        <f t="shared" si="358"/>
        <v>8.6000000000000007E-2</v>
      </c>
      <c r="G196" s="191"/>
      <c r="H196" s="191">
        <f t="shared" si="322"/>
        <v>1.7200000000000002</v>
      </c>
      <c r="I196" s="472">
        <f t="shared" si="323"/>
        <v>9</v>
      </c>
      <c r="J196" s="386">
        <f t="shared" si="324"/>
        <v>20.32</v>
      </c>
      <c r="K196" s="386">
        <f t="shared" si="325"/>
        <v>29.32</v>
      </c>
      <c r="L196" s="386"/>
      <c r="M196" s="191">
        <f t="shared" si="326"/>
        <v>0.69304229195088674</v>
      </c>
      <c r="N196" s="152">
        <f t="shared" si="327"/>
        <v>2.1101682401091408</v>
      </c>
      <c r="O196" s="152">
        <f t="shared" si="262"/>
        <v>1.7200000000000002</v>
      </c>
      <c r="P196" s="191">
        <f t="shared" si="328"/>
        <v>0.10550841200545705</v>
      </c>
      <c r="Q196" s="191">
        <f t="shared" si="329"/>
        <v>20</v>
      </c>
      <c r="R196" s="191"/>
      <c r="S196" s="152">
        <f t="shared" si="330"/>
        <v>26.427441292547723</v>
      </c>
      <c r="T196" s="152">
        <f t="shared" si="331"/>
        <v>20</v>
      </c>
      <c r="U196" s="191">
        <f t="shared" si="332"/>
        <v>0.6127928453387772</v>
      </c>
      <c r="V196" s="191">
        <f t="shared" si="333"/>
        <v>10.213214088979619</v>
      </c>
      <c r="W196" s="191">
        <f t="shared" si="334"/>
        <v>4.5235692323236503</v>
      </c>
      <c r="X196" s="175">
        <f t="shared" si="335"/>
        <v>277.21691678035478</v>
      </c>
      <c r="Y196" s="386">
        <f t="shared" si="303"/>
        <v>67.857413534364412</v>
      </c>
      <c r="AA196" s="191">
        <f t="shared" si="336"/>
        <v>0.14999999999999997</v>
      </c>
      <c r="AB196" s="153">
        <f t="shared" si="337"/>
        <v>1.1072834645669287</v>
      </c>
      <c r="AC196" s="153">
        <f t="shared" si="338"/>
        <v>2.3021828103683487E-2</v>
      </c>
      <c r="AD196" s="153"/>
      <c r="AE196" s="153">
        <f t="shared" si="339"/>
        <v>1.1072834645669289</v>
      </c>
      <c r="AF196" s="317">
        <f t="shared" si="340"/>
        <v>1035.5674074074075</v>
      </c>
      <c r="AG196" s="463">
        <f t="shared" si="341"/>
        <v>2.3021828103683497E-2</v>
      </c>
      <c r="AI196" s="153">
        <f t="shared" si="342"/>
        <v>0.25801587252762281</v>
      </c>
      <c r="AJ196" s="153">
        <f t="shared" si="343"/>
        <v>0.6127928453387772</v>
      </c>
      <c r="AK196" s="153">
        <f t="shared" si="344"/>
        <v>1.5085285635591847</v>
      </c>
      <c r="AM196" s="317">
        <f t="shared" si="345"/>
        <v>86</v>
      </c>
      <c r="AN196" s="147">
        <f t="shared" si="346"/>
        <v>67.857413534364412</v>
      </c>
      <c r="AP196">
        <f t="shared" si="347"/>
        <v>86</v>
      </c>
      <c r="AQ196">
        <f t="shared" si="348"/>
        <v>67.857413534364412</v>
      </c>
      <c r="AS196" s="5">
        <f t="shared" si="263"/>
        <v>14.736783321303268</v>
      </c>
      <c r="AT196" s="5">
        <f t="shared" si="349"/>
        <v>10.213214088979619</v>
      </c>
      <c r="AU196" s="5">
        <f t="shared" si="304"/>
        <v>4.5235692323236485</v>
      </c>
      <c r="AV196" s="5"/>
      <c r="AW196" s="153">
        <f t="shared" si="305"/>
        <v>0.69304229195088685</v>
      </c>
      <c r="AX196" s="153">
        <f t="shared" si="259"/>
        <v>1.9111111111111119</v>
      </c>
      <c r="AY196" s="153">
        <f t="shared" si="260"/>
        <v>9.4050743657042857E-2</v>
      </c>
      <c r="AZ196" s="153">
        <f t="shared" si="264"/>
        <v>20.320000000000011</v>
      </c>
      <c r="BA196" s="147">
        <f t="shared" si="350"/>
        <v>7.5578700647486725</v>
      </c>
      <c r="BB196" s="147">
        <f t="shared" si="351"/>
        <v>42.444811392592598</v>
      </c>
      <c r="BC196" s="5">
        <f t="shared" si="359"/>
        <v>0.96056038019712042</v>
      </c>
      <c r="BD196" s="147">
        <f t="shared" si="352"/>
        <v>96.69307505674908</v>
      </c>
      <c r="BF196" s="153">
        <f t="shared" si="265"/>
        <v>0.29453229912000034</v>
      </c>
      <c r="BG196" s="153">
        <f t="shared" si="261"/>
        <v>0.19601636464306962</v>
      </c>
      <c r="BI196" s="463">
        <f t="shared" si="306"/>
        <v>3.0362246328719672E-2</v>
      </c>
      <c r="BJ196" s="463">
        <f t="shared" si="307"/>
        <v>6.0960000000000025E-3</v>
      </c>
      <c r="BK196" s="463">
        <f t="shared" si="308"/>
        <v>8.4821766917955515E-4</v>
      </c>
      <c r="BL196" s="463">
        <f t="shared" si="309"/>
        <v>2.9167233488372104E-3</v>
      </c>
      <c r="BM196">
        <f t="shared" si="310"/>
        <v>2.6099999999999999E-3</v>
      </c>
      <c r="BN196">
        <f t="shared" si="353"/>
        <v>6.7857413534364416E-7</v>
      </c>
      <c r="BO196" s="463">
        <f t="shared" si="354"/>
        <v>4.7197159851134207E-2</v>
      </c>
      <c r="BP196" s="147">
        <f t="shared" si="311"/>
        <v>42.833187346736445</v>
      </c>
      <c r="BQ196" s="463">
        <f t="shared" si="355"/>
        <v>6.2206725218824026E-2</v>
      </c>
      <c r="BT196" s="147">
        <f t="shared" si="312"/>
        <v>62.206725218824026</v>
      </c>
      <c r="BU196" s="463">
        <f t="shared" si="313"/>
        <v>6.9399420179930685E-2</v>
      </c>
      <c r="BV196" s="463">
        <f t="shared" si="314"/>
        <v>3.0584242505476332E-2</v>
      </c>
      <c r="BW196" s="463">
        <f t="shared" si="315"/>
        <v>0</v>
      </c>
      <c r="BX196" s="463"/>
      <c r="BY196" s="463">
        <f t="shared" si="316"/>
        <v>3.8222222222222241E-2</v>
      </c>
      <c r="BZ196" s="147">
        <f t="shared" si="317"/>
        <v>138.20588490762924</v>
      </c>
      <c r="CA196" s="153">
        <f t="shared" si="318"/>
        <v>0.24324579747318975</v>
      </c>
      <c r="CB196" s="5">
        <f t="shared" si="319"/>
        <v>1.7200000000000002</v>
      </c>
      <c r="CC196" s="153">
        <f t="shared" si="320"/>
        <v>0.87610018175703674</v>
      </c>
      <c r="CD196" s="5">
        <f t="shared" si="321"/>
        <v>87.610018175703672</v>
      </c>
      <c r="CG196" s="59">
        <f t="shared" si="356"/>
        <v>-50</v>
      </c>
      <c r="CH196">
        <f t="shared" si="357"/>
        <v>-50</v>
      </c>
    </row>
    <row r="197" spans="5:86" x14ac:dyDescent="0.25">
      <c r="E197" s="150">
        <v>87</v>
      </c>
      <c r="F197" s="191">
        <f t="shared" si="358"/>
        <v>8.7000000000000008E-2</v>
      </c>
      <c r="G197" s="191"/>
      <c r="H197" s="191">
        <f t="shared" si="322"/>
        <v>1.7400000000000002</v>
      </c>
      <c r="I197" s="472">
        <f t="shared" si="323"/>
        <v>9</v>
      </c>
      <c r="J197" s="386">
        <f t="shared" si="324"/>
        <v>20.32</v>
      </c>
      <c r="K197" s="386">
        <f t="shared" si="325"/>
        <v>29.32</v>
      </c>
      <c r="L197" s="386"/>
      <c r="M197" s="191">
        <f t="shared" si="326"/>
        <v>0.69304229195088674</v>
      </c>
      <c r="N197" s="152">
        <f t="shared" si="327"/>
        <v>2.1101682401091408</v>
      </c>
      <c r="O197" s="152">
        <f t="shared" si="262"/>
        <v>1.7400000000000002</v>
      </c>
      <c r="P197" s="191">
        <f t="shared" si="328"/>
        <v>0.10550841200545705</v>
      </c>
      <c r="Q197" s="191">
        <f t="shared" si="329"/>
        <v>20</v>
      </c>
      <c r="R197" s="191"/>
      <c r="S197" s="152">
        <f t="shared" si="330"/>
        <v>26.023119563175005</v>
      </c>
      <c r="T197" s="152">
        <f t="shared" si="331"/>
        <v>20</v>
      </c>
      <c r="U197" s="191">
        <f t="shared" si="332"/>
        <v>0.61991834354039088</v>
      </c>
      <c r="V197" s="191">
        <f t="shared" si="333"/>
        <v>10.331972392339848</v>
      </c>
      <c r="W197" s="191">
        <f t="shared" si="334"/>
        <v>4.576168874559972</v>
      </c>
      <c r="X197" s="175">
        <f t="shared" si="335"/>
        <v>277.21691678035478</v>
      </c>
      <c r="Y197" s="386">
        <f t="shared" si="303"/>
        <v>67.077443263854448</v>
      </c>
      <c r="AA197" s="191">
        <f t="shared" si="336"/>
        <v>0.14999999999999997</v>
      </c>
      <c r="AB197" s="153">
        <f t="shared" si="337"/>
        <v>1.1072834645669287</v>
      </c>
      <c r="AC197" s="153">
        <f t="shared" si="338"/>
        <v>2.3021828103683487E-2</v>
      </c>
      <c r="AD197" s="153"/>
      <c r="AE197" s="153">
        <f t="shared" si="339"/>
        <v>1.1072834645669289</v>
      </c>
      <c r="AF197" s="317">
        <f t="shared" si="340"/>
        <v>1047.6088888888892</v>
      </c>
      <c r="AG197" s="463">
        <f t="shared" si="341"/>
        <v>2.3021828103683497E-2</v>
      </c>
      <c r="AI197" s="153">
        <f t="shared" si="342"/>
        <v>0.25951162924671745</v>
      </c>
      <c r="AJ197" s="153">
        <f t="shared" si="343"/>
        <v>0.61991834354039088</v>
      </c>
      <c r="AK197" s="153">
        <f t="shared" si="344"/>
        <v>1.5132788956935939</v>
      </c>
      <c r="AM197" s="317">
        <f t="shared" si="345"/>
        <v>87.000000000000014</v>
      </c>
      <c r="AN197" s="147">
        <f t="shared" si="346"/>
        <v>67.077443263854448</v>
      </c>
      <c r="AP197">
        <f t="shared" si="347"/>
        <v>87.000000000000014</v>
      </c>
      <c r="AQ197">
        <f t="shared" si="348"/>
        <v>67.077443263854448</v>
      </c>
      <c r="AS197" s="5">
        <f t="shared" si="263"/>
        <v>14.908141266899822</v>
      </c>
      <c r="AT197" s="5">
        <f t="shared" si="349"/>
        <v>10.331972392339848</v>
      </c>
      <c r="AU197" s="5">
        <f t="shared" si="304"/>
        <v>4.5761688745599738</v>
      </c>
      <c r="AV197" s="5"/>
      <c r="AW197" s="153">
        <f t="shared" si="305"/>
        <v>0.69304229195088674</v>
      </c>
      <c r="AX197" s="153">
        <f t="shared" ref="AX197:AX210" si="360">0.5*L*AJ197^2*AN197*1000</f>
        <v>1.9333333333333331</v>
      </c>
      <c r="AY197" s="153">
        <f t="shared" ref="AY197:AY210" si="361">AJ197*Nps/2*(1-AW197)</f>
        <v>9.5144356955380607E-2</v>
      </c>
      <c r="AZ197" s="153">
        <f t="shared" si="264"/>
        <v>20.319999999999993</v>
      </c>
      <c r="BA197" s="147">
        <f t="shared" si="350"/>
        <v>7.5578700647486725</v>
      </c>
      <c r="BB197" s="147">
        <f t="shared" si="351"/>
        <v>43.434604033333336</v>
      </c>
      <c r="BC197" s="5">
        <f t="shared" si="359"/>
        <v>0.9830288693499204</v>
      </c>
      <c r="BD197" s="147">
        <f t="shared" si="352"/>
        <v>98.947331379436477</v>
      </c>
      <c r="BF197" s="153">
        <f t="shared" si="265"/>
        <v>0.29795709329581427</v>
      </c>
      <c r="BG197" s="153">
        <f t="shared" ref="BG197:BG210" si="362">AJ197*Nps*SQRT((1-AW197)/3)</f>
        <v>0.19829562469705883</v>
      </c>
      <c r="BI197" s="463">
        <f t="shared" si="306"/>
        <v>3.10724503058517E-2</v>
      </c>
      <c r="BJ197" s="463">
        <f t="shared" si="307"/>
        <v>6.095999999999999E-3</v>
      </c>
      <c r="BK197" s="463">
        <f t="shared" si="308"/>
        <v>8.3846804079818057E-4</v>
      </c>
      <c r="BL197" s="463">
        <f t="shared" si="309"/>
        <v>2.883197793103448E-3</v>
      </c>
      <c r="BM197">
        <f t="shared" si="310"/>
        <v>2.6099999999999999E-3</v>
      </c>
      <c r="BN197">
        <f t="shared" si="353"/>
        <v>6.7077443263854447E-7</v>
      </c>
      <c r="BO197" s="463">
        <f t="shared" si="354"/>
        <v>4.7970576645202427E-2</v>
      </c>
      <c r="BP197" s="147">
        <f t="shared" si="311"/>
        <v>43.500116139753324</v>
      </c>
      <c r="BQ197" s="463">
        <f t="shared" si="355"/>
        <v>6.3275362247333572E-2</v>
      </c>
      <c r="BT197" s="147">
        <f t="shared" si="312"/>
        <v>63.275362247333575</v>
      </c>
      <c r="BU197" s="463">
        <f t="shared" si="313"/>
        <v>7.1022743556232462E-2</v>
      </c>
      <c r="BV197" s="463">
        <f t="shared" si="314"/>
        <v>3.129963920010146E-2</v>
      </c>
      <c r="BW197" s="463">
        <f t="shared" si="315"/>
        <v>0</v>
      </c>
      <c r="BX197" s="463"/>
      <c r="BY197" s="463">
        <f t="shared" si="316"/>
        <v>3.8666666666666669E-2</v>
      </c>
      <c r="BZ197" s="147">
        <f t="shared" si="317"/>
        <v>140.98904942300061</v>
      </c>
      <c r="CA197" s="153">
        <f t="shared" si="318"/>
        <v>0.24776452781008745</v>
      </c>
      <c r="CB197" s="5">
        <f t="shared" si="319"/>
        <v>1.7400000000000002</v>
      </c>
      <c r="CC197" s="153">
        <f t="shared" si="320"/>
        <v>0.8753551920543382</v>
      </c>
      <c r="CD197" s="5">
        <f t="shared" si="321"/>
        <v>87.535519205433815</v>
      </c>
      <c r="CG197" s="59">
        <f t="shared" si="356"/>
        <v>-50</v>
      </c>
      <c r="CH197">
        <f t="shared" si="357"/>
        <v>-50</v>
      </c>
    </row>
    <row r="198" spans="5:86" x14ac:dyDescent="0.25">
      <c r="E198" s="150">
        <v>88</v>
      </c>
      <c r="F198" s="191">
        <f t="shared" si="358"/>
        <v>8.8000000000000009E-2</v>
      </c>
      <c r="G198" s="191"/>
      <c r="H198" s="191">
        <f t="shared" si="322"/>
        <v>1.7600000000000002</v>
      </c>
      <c r="I198" s="472">
        <f t="shared" si="323"/>
        <v>9</v>
      </c>
      <c r="J198" s="386">
        <f t="shared" si="324"/>
        <v>20.32</v>
      </c>
      <c r="K198" s="386">
        <f t="shared" si="325"/>
        <v>29.32</v>
      </c>
      <c r="L198" s="386"/>
      <c r="M198" s="191">
        <f t="shared" si="326"/>
        <v>0.69304229195088674</v>
      </c>
      <c r="N198" s="152">
        <f t="shared" si="327"/>
        <v>2.1101682401091408</v>
      </c>
      <c r="O198" s="152">
        <f t="shared" ref="O198:O261" si="363">T198*F198</f>
        <v>1.7600000000000002</v>
      </c>
      <c r="P198" s="191">
        <f t="shared" si="328"/>
        <v>0.10550841200545705</v>
      </c>
      <c r="Q198" s="191">
        <f t="shared" si="329"/>
        <v>20</v>
      </c>
      <c r="R198" s="191"/>
      <c r="S198" s="152">
        <f t="shared" si="330"/>
        <v>25.628036511564986</v>
      </c>
      <c r="T198" s="152">
        <f t="shared" si="331"/>
        <v>20</v>
      </c>
      <c r="U198" s="191">
        <f t="shared" si="332"/>
        <v>0.62704384174200456</v>
      </c>
      <c r="V198" s="191">
        <f t="shared" si="333"/>
        <v>10.450730695700075</v>
      </c>
      <c r="W198" s="191">
        <f t="shared" si="334"/>
        <v>4.6287685167962938</v>
      </c>
      <c r="X198" s="175">
        <f t="shared" si="335"/>
        <v>277.21691678035478</v>
      </c>
      <c r="Y198" s="386">
        <f t="shared" si="303"/>
        <v>66.315199590401562</v>
      </c>
      <c r="AA198" s="191">
        <f t="shared" si="336"/>
        <v>0.14999999999999997</v>
      </c>
      <c r="AB198" s="153">
        <f t="shared" si="337"/>
        <v>1.1072834645669287</v>
      </c>
      <c r="AC198" s="153">
        <f t="shared" si="338"/>
        <v>2.3021828103683487E-2</v>
      </c>
      <c r="AD198" s="153"/>
      <c r="AE198" s="153">
        <f t="shared" si="339"/>
        <v>1.1072834645669289</v>
      </c>
      <c r="AF198" s="317">
        <f t="shared" si="340"/>
        <v>1059.6503703703706</v>
      </c>
      <c r="AG198" s="463">
        <f t="shared" si="341"/>
        <v>2.3021828103683497E-2</v>
      </c>
      <c r="AI198" s="153">
        <f t="shared" si="342"/>
        <v>0.26099881408232678</v>
      </c>
      <c r="AJ198" s="153">
        <f t="shared" si="343"/>
        <v>0.62704384174200456</v>
      </c>
      <c r="AK198" s="153">
        <f t="shared" si="344"/>
        <v>1.518029227828003</v>
      </c>
      <c r="AM198" s="317">
        <f t="shared" si="345"/>
        <v>88.000000000000014</v>
      </c>
      <c r="AN198" s="147">
        <f t="shared" si="346"/>
        <v>66.315199590401562</v>
      </c>
      <c r="AP198">
        <f t="shared" si="347"/>
        <v>88.000000000000014</v>
      </c>
      <c r="AQ198">
        <f t="shared" si="348"/>
        <v>66.315199590401562</v>
      </c>
      <c r="AS198" s="5">
        <f t="shared" ref="AS198:AS262" si="364">1/AN198*1000</f>
        <v>15.079499212496371</v>
      </c>
      <c r="AT198" s="5">
        <f t="shared" si="349"/>
        <v>10.450730695700075</v>
      </c>
      <c r="AU198" s="5">
        <f t="shared" si="304"/>
        <v>4.6287685167962955</v>
      </c>
      <c r="AV198" s="5"/>
      <c r="AW198" s="153">
        <f t="shared" si="305"/>
        <v>0.69304229195088662</v>
      </c>
      <c r="AX198" s="153">
        <f t="shared" si="360"/>
        <v>1.9555555555555555</v>
      </c>
      <c r="AY198" s="153">
        <f t="shared" si="361"/>
        <v>9.6237970253718344E-2</v>
      </c>
      <c r="AZ198" s="153">
        <f t="shared" ref="AZ198:AZ210" si="365">AX198/AY198</f>
        <v>20.319999999999986</v>
      </c>
      <c r="BA198" s="147">
        <f t="shared" si="350"/>
        <v>7.5578700647486725</v>
      </c>
      <c r="BB198" s="147">
        <f t="shared" si="351"/>
        <v>44.435804681481493</v>
      </c>
      <c r="BC198" s="5">
        <f t="shared" si="359"/>
        <v>1.0057571098224052</v>
      </c>
      <c r="BD198" s="147">
        <f t="shared" si="352"/>
        <v>101.22756283409237</v>
      </c>
      <c r="BF198" s="153">
        <f t="shared" ref="BF198:BF210" si="366">AJ198*SQRT(AW198/3)</f>
        <v>0.30138188747162814</v>
      </c>
      <c r="BG198" s="153">
        <f t="shared" si="362"/>
        <v>0.20057488475104807</v>
      </c>
      <c r="BI198" s="463">
        <f t="shared" si="306"/>
        <v>3.1790864733586395E-2</v>
      </c>
      <c r="BJ198" s="463">
        <f t="shared" si="307"/>
        <v>6.095999999999999E-3</v>
      </c>
      <c r="BK198" s="463">
        <f t="shared" si="308"/>
        <v>8.2893999488001951E-4</v>
      </c>
      <c r="BL198" s="463">
        <f t="shared" si="309"/>
        <v>2.8504341818181818E-3</v>
      </c>
      <c r="BM198">
        <f t="shared" si="310"/>
        <v>2.6099999999999999E-3</v>
      </c>
      <c r="BN198">
        <f t="shared" si="353"/>
        <v>6.631519959040156E-7</v>
      </c>
      <c r="BO198" s="463">
        <f t="shared" si="354"/>
        <v>4.875463494618356E-2</v>
      </c>
      <c r="BP198" s="147">
        <f t="shared" si="311"/>
        <v>44.176238910284596</v>
      </c>
      <c r="BQ198" s="463">
        <f t="shared" si="355"/>
        <v>6.4351937276172722E-2</v>
      </c>
      <c r="BT198" s="147">
        <f t="shared" si="312"/>
        <v>64.35193727617272</v>
      </c>
      <c r="BU198" s="463">
        <f t="shared" si="313"/>
        <v>7.2664833676768903E-2</v>
      </c>
      <c r="BV198" s="463">
        <f t="shared" si="314"/>
        <v>3.2023306376745386E-2</v>
      </c>
      <c r="BW198" s="463">
        <f t="shared" si="315"/>
        <v>0</v>
      </c>
      <c r="BX198" s="463"/>
      <c r="BY198" s="463">
        <f t="shared" si="316"/>
        <v>3.9111111111111117E-2</v>
      </c>
      <c r="BZ198" s="147">
        <f t="shared" si="317"/>
        <v>143.79925116462542</v>
      </c>
      <c r="CA198" s="153">
        <f t="shared" si="318"/>
        <v>0.25232742735108271</v>
      </c>
      <c r="CB198" s="5">
        <f t="shared" si="319"/>
        <v>1.7600000000000002</v>
      </c>
      <c r="CC198" s="153">
        <f t="shared" si="320"/>
        <v>0.87460915956245122</v>
      </c>
      <c r="CD198" s="5">
        <f t="shared" si="321"/>
        <v>87.460915956245117</v>
      </c>
      <c r="CG198" s="59">
        <f t="shared" si="356"/>
        <v>-50</v>
      </c>
      <c r="CH198">
        <f t="shared" si="357"/>
        <v>-50</v>
      </c>
    </row>
    <row r="199" spans="5:86" x14ac:dyDescent="0.25">
      <c r="E199" s="150">
        <v>89</v>
      </c>
      <c r="F199" s="191">
        <f t="shared" si="358"/>
        <v>8.900000000000001E-2</v>
      </c>
      <c r="G199" s="191"/>
      <c r="H199" s="191">
        <f t="shared" si="322"/>
        <v>1.7800000000000002</v>
      </c>
      <c r="I199" s="472">
        <f t="shared" si="323"/>
        <v>9</v>
      </c>
      <c r="J199" s="386">
        <f t="shared" si="324"/>
        <v>20.32</v>
      </c>
      <c r="K199" s="386">
        <f t="shared" si="325"/>
        <v>29.32</v>
      </c>
      <c r="L199" s="386"/>
      <c r="M199" s="191">
        <f t="shared" si="326"/>
        <v>0.69304229195088674</v>
      </c>
      <c r="N199" s="152">
        <f t="shared" si="327"/>
        <v>2.1101682401091408</v>
      </c>
      <c r="O199" s="152">
        <f t="shared" si="363"/>
        <v>1.7800000000000002</v>
      </c>
      <c r="P199" s="191">
        <f t="shared" si="328"/>
        <v>0.10550841200545705</v>
      </c>
      <c r="Q199" s="191">
        <f t="shared" si="329"/>
        <v>20</v>
      </c>
      <c r="R199" s="191"/>
      <c r="S199" s="152">
        <f t="shared" si="330"/>
        <v>25.241881247000027</v>
      </c>
      <c r="T199" s="152">
        <f t="shared" si="331"/>
        <v>20</v>
      </c>
      <c r="U199" s="191">
        <f t="shared" si="332"/>
        <v>0.63416933994361835</v>
      </c>
      <c r="V199" s="191">
        <f t="shared" si="333"/>
        <v>10.569488999060304</v>
      </c>
      <c r="W199" s="191">
        <f t="shared" si="334"/>
        <v>4.6813681590326146</v>
      </c>
      <c r="X199" s="175">
        <f t="shared" si="335"/>
        <v>277.21691678035478</v>
      </c>
      <c r="Y199" s="386">
        <f t="shared" si="303"/>
        <v>65.570084988262224</v>
      </c>
      <c r="AA199" s="191">
        <f t="shared" si="336"/>
        <v>0.14999999999999997</v>
      </c>
      <c r="AB199" s="153">
        <f t="shared" si="337"/>
        <v>1.1072834645669287</v>
      </c>
      <c r="AC199" s="153">
        <f t="shared" si="338"/>
        <v>2.3021828103683487E-2</v>
      </c>
      <c r="AD199" s="153"/>
      <c r="AE199" s="153">
        <f t="shared" si="339"/>
        <v>1.1072834645669289</v>
      </c>
      <c r="AF199" s="317">
        <f t="shared" si="340"/>
        <v>1071.6918518518521</v>
      </c>
      <c r="AG199" s="463">
        <f t="shared" si="341"/>
        <v>2.3021828103683497E-2</v>
      </c>
      <c r="AI199" s="153">
        <f t="shared" si="342"/>
        <v>0.26247757273808409</v>
      </c>
      <c r="AJ199" s="153">
        <f t="shared" si="343"/>
        <v>0.63416933994361835</v>
      </c>
      <c r="AK199" s="153">
        <f t="shared" si="344"/>
        <v>1.5227795599624123</v>
      </c>
      <c r="AM199" s="317">
        <f t="shared" si="345"/>
        <v>89.000000000000014</v>
      </c>
      <c r="AN199" s="147">
        <f t="shared" si="346"/>
        <v>65.570084988262224</v>
      </c>
      <c r="AP199">
        <f t="shared" si="347"/>
        <v>89.000000000000014</v>
      </c>
      <c r="AQ199">
        <f t="shared" si="348"/>
        <v>65.570084988262224</v>
      </c>
      <c r="AS199" s="5">
        <f t="shared" si="364"/>
        <v>15.250857158092918</v>
      </c>
      <c r="AT199" s="5">
        <f t="shared" si="349"/>
        <v>10.569488999060304</v>
      </c>
      <c r="AU199" s="5">
        <f t="shared" si="304"/>
        <v>4.6813681590326137</v>
      </c>
      <c r="AV199" s="5"/>
      <c r="AW199" s="153">
        <f t="shared" si="305"/>
        <v>0.69304229195088685</v>
      </c>
      <c r="AX199" s="153">
        <f t="shared" si="360"/>
        <v>1.9777777777777783</v>
      </c>
      <c r="AY199" s="153">
        <f t="shared" si="361"/>
        <v>9.7331583552055997E-2</v>
      </c>
      <c r="AZ199" s="153">
        <f t="shared" si="365"/>
        <v>20.320000000000004</v>
      </c>
      <c r="BA199" s="147">
        <f t="shared" si="350"/>
        <v>7.5578700647486725</v>
      </c>
      <c r="BB199" s="147">
        <f t="shared" si="351"/>
        <v>45.448413337037032</v>
      </c>
      <c r="BC199" s="5">
        <f t="shared" si="359"/>
        <v>1.0287451016145746</v>
      </c>
      <c r="BD199" s="147">
        <f t="shared" si="352"/>
        <v>103.53376942071672</v>
      </c>
      <c r="BF199" s="153">
        <f t="shared" si="366"/>
        <v>0.30480668164744223</v>
      </c>
      <c r="BG199" s="153">
        <f t="shared" si="362"/>
        <v>0.20285414480503719</v>
      </c>
      <c r="BI199" s="463">
        <f t="shared" si="306"/>
        <v>3.2517489611923814E-2</v>
      </c>
      <c r="BJ199" s="463">
        <f t="shared" si="307"/>
        <v>6.0959999999999999E-3</v>
      </c>
      <c r="BK199" s="463">
        <f t="shared" si="308"/>
        <v>8.1962606235327776E-4</v>
      </c>
      <c r="BL199" s="463">
        <f t="shared" si="309"/>
        <v>2.818406831460674E-3</v>
      </c>
      <c r="BM199">
        <f t="shared" si="310"/>
        <v>2.6099999999999999E-3</v>
      </c>
      <c r="BN199">
        <f t="shared" si="353"/>
        <v>6.5570084988262224E-7</v>
      </c>
      <c r="BO199" s="463">
        <f t="shared" si="354"/>
        <v>4.9549309237076171E-2</v>
      </c>
      <c r="BP199" s="147">
        <f t="shared" si="311"/>
        <v>44.861522505737767</v>
      </c>
      <c r="BQ199" s="463">
        <f t="shared" si="355"/>
        <v>6.5436450305341412E-2</v>
      </c>
      <c r="BT199" s="147">
        <f t="shared" si="312"/>
        <v>65.43645030534141</v>
      </c>
      <c r="BU199" s="463">
        <f t="shared" si="313"/>
        <v>7.432569054154016E-2</v>
      </c>
      <c r="BV199" s="463">
        <f t="shared" si="314"/>
        <v>3.2755244035408068E-2</v>
      </c>
      <c r="BW199" s="463">
        <f t="shared" si="315"/>
        <v>0</v>
      </c>
      <c r="BX199" s="463"/>
      <c r="BY199" s="463">
        <f t="shared" si="316"/>
        <v>3.9555555555555566E-2</v>
      </c>
      <c r="BZ199" s="147">
        <f t="shared" si="317"/>
        <v>146.63649013250378</v>
      </c>
      <c r="CA199" s="153">
        <f t="shared" si="318"/>
        <v>0.25693446294358296</v>
      </c>
      <c r="CB199" s="5">
        <f t="shared" si="319"/>
        <v>1.7800000000000002</v>
      </c>
      <c r="CC199" s="153">
        <f t="shared" si="320"/>
        <v>0.8738621847595992</v>
      </c>
      <c r="CD199" s="5">
        <f t="shared" si="321"/>
        <v>87.386218475959922</v>
      </c>
      <c r="CG199" s="59">
        <f t="shared" si="356"/>
        <v>-50</v>
      </c>
      <c r="CH199">
        <f t="shared" si="357"/>
        <v>-50</v>
      </c>
    </row>
    <row r="200" spans="5:86" x14ac:dyDescent="0.25">
      <c r="E200" s="150">
        <v>90</v>
      </c>
      <c r="F200" s="191">
        <f t="shared" si="358"/>
        <v>9.0000000000000011E-2</v>
      </c>
      <c r="G200" s="191"/>
      <c r="H200" s="191">
        <f t="shared" si="322"/>
        <v>1.8000000000000003</v>
      </c>
      <c r="I200" s="472">
        <f t="shared" si="323"/>
        <v>9</v>
      </c>
      <c r="J200" s="386">
        <f t="shared" si="324"/>
        <v>20.32</v>
      </c>
      <c r="K200" s="386">
        <f t="shared" si="325"/>
        <v>29.32</v>
      </c>
      <c r="L200" s="386"/>
      <c r="M200" s="191">
        <f t="shared" si="326"/>
        <v>0.69304229195088674</v>
      </c>
      <c r="N200" s="152">
        <f t="shared" si="327"/>
        <v>2.1101682401091408</v>
      </c>
      <c r="O200" s="152">
        <f t="shared" si="363"/>
        <v>1.8000000000000003</v>
      </c>
      <c r="P200" s="191">
        <f t="shared" si="328"/>
        <v>0.10550841200545705</v>
      </c>
      <c r="Q200" s="191">
        <f t="shared" si="329"/>
        <v>20</v>
      </c>
      <c r="R200" s="191"/>
      <c r="S200" s="152">
        <f t="shared" si="330"/>
        <v>24.864356703010632</v>
      </c>
      <c r="T200" s="152">
        <f t="shared" si="331"/>
        <v>20</v>
      </c>
      <c r="U200" s="191">
        <f t="shared" si="332"/>
        <v>0.64129483814523203</v>
      </c>
      <c r="V200" s="191">
        <f t="shared" si="333"/>
        <v>10.688247302420532</v>
      </c>
      <c r="W200" s="191">
        <f t="shared" si="334"/>
        <v>4.7339678012689363</v>
      </c>
      <c r="X200" s="175">
        <f t="shared" si="335"/>
        <v>277.21691678035478</v>
      </c>
      <c r="Y200" s="386">
        <f t="shared" si="303"/>
        <v>64.841528488392655</v>
      </c>
      <c r="AA200" s="191">
        <f t="shared" si="336"/>
        <v>0.14999999999999997</v>
      </c>
      <c r="AB200" s="153">
        <f t="shared" si="337"/>
        <v>1.1072834645669287</v>
      </c>
      <c r="AC200" s="153">
        <f t="shared" si="338"/>
        <v>2.3021828103683487E-2</v>
      </c>
      <c r="AD200" s="153"/>
      <c r="AE200" s="153">
        <f t="shared" si="339"/>
        <v>1.1072834645669289</v>
      </c>
      <c r="AF200" s="317">
        <f t="shared" si="340"/>
        <v>1083.7333333333336</v>
      </c>
      <c r="AG200" s="463">
        <f t="shared" si="341"/>
        <v>2.3021828103683497E-2</v>
      </c>
      <c r="AI200" s="153">
        <f t="shared" si="342"/>
        <v>0.26394804683606099</v>
      </c>
      <c r="AJ200" s="153">
        <f t="shared" si="343"/>
        <v>0.64129483814523203</v>
      </c>
      <c r="AK200" s="153">
        <f t="shared" si="344"/>
        <v>1.5275298920968212</v>
      </c>
      <c r="AM200" s="317">
        <f t="shared" si="345"/>
        <v>90.000000000000014</v>
      </c>
      <c r="AN200" s="147">
        <f t="shared" si="346"/>
        <v>64.841528488392655</v>
      </c>
      <c r="AP200">
        <f t="shared" si="347"/>
        <v>90.000000000000014</v>
      </c>
      <c r="AQ200">
        <f t="shared" si="348"/>
        <v>64.841528488392655</v>
      </c>
      <c r="AS200" s="5">
        <f t="shared" si="364"/>
        <v>15.422215103689465</v>
      </c>
      <c r="AT200" s="5">
        <f t="shared" si="349"/>
        <v>10.688247302420532</v>
      </c>
      <c r="AU200" s="5">
        <f t="shared" si="304"/>
        <v>4.7339678012689337</v>
      </c>
      <c r="AV200" s="5"/>
      <c r="AW200" s="153">
        <f t="shared" si="305"/>
        <v>0.69304229195088685</v>
      </c>
      <c r="AX200" s="153">
        <f t="shared" si="360"/>
        <v>2.0000000000000009</v>
      </c>
      <c r="AY200" s="153">
        <f t="shared" si="361"/>
        <v>9.8425196850393706E-2</v>
      </c>
      <c r="AZ200" s="153">
        <f t="shared" si="365"/>
        <v>20.320000000000007</v>
      </c>
      <c r="BA200" s="147">
        <f t="shared" si="350"/>
        <v>7.5578700647486725</v>
      </c>
      <c r="BB200" s="147">
        <f t="shared" si="351"/>
        <v>46.472429999999996</v>
      </c>
      <c r="BC200" s="5">
        <f t="shared" si="359"/>
        <v>1.05199284472643</v>
      </c>
      <c r="BD200" s="147">
        <f t="shared" si="352"/>
        <v>105.86595113930966</v>
      </c>
      <c r="BF200" s="153">
        <f t="shared" si="366"/>
        <v>0.30823147582325616</v>
      </c>
      <c r="BG200" s="153">
        <f t="shared" si="362"/>
        <v>0.20513340485902637</v>
      </c>
      <c r="BI200" s="463">
        <f t="shared" si="306"/>
        <v>3.3252324940863894E-2</v>
      </c>
      <c r="BJ200" s="463">
        <f t="shared" si="307"/>
        <v>6.0960000000000025E-3</v>
      </c>
      <c r="BK200" s="463">
        <f t="shared" si="308"/>
        <v>8.1051910610490817E-4</v>
      </c>
      <c r="BL200" s="463">
        <f t="shared" si="309"/>
        <v>2.7870912000000007E-3</v>
      </c>
      <c r="BM200">
        <f t="shared" si="310"/>
        <v>2.6099999999999999E-3</v>
      </c>
      <c r="BN200">
        <f t="shared" si="353"/>
        <v>6.484152848839266E-7</v>
      </c>
      <c r="BO200" s="463">
        <f t="shared" si="354"/>
        <v>5.0354575567083761E-2</v>
      </c>
      <c r="BP200" s="147">
        <f t="shared" si="311"/>
        <v>45.555935246968808</v>
      </c>
      <c r="BQ200" s="463">
        <f t="shared" si="355"/>
        <v>6.6528901334839727E-2</v>
      </c>
      <c r="BT200" s="147">
        <f t="shared" si="312"/>
        <v>66.52890133483973</v>
      </c>
      <c r="BU200" s="463">
        <f t="shared" si="313"/>
        <v>7.6005314150546052E-2</v>
      </c>
      <c r="BV200" s="463">
        <f t="shared" si="314"/>
        <v>3.3495452176089548E-2</v>
      </c>
      <c r="BW200" s="463">
        <f t="shared" si="315"/>
        <v>0</v>
      </c>
      <c r="BX200" s="463"/>
      <c r="BY200" s="463">
        <f t="shared" si="316"/>
        <v>4.0000000000000022E-2</v>
      </c>
      <c r="BZ200" s="147">
        <f t="shared" si="317"/>
        <v>149.50076632663561</v>
      </c>
      <c r="CA200" s="153">
        <f t="shared" si="318"/>
        <v>0.26158560290844413</v>
      </c>
      <c r="CB200" s="5">
        <f t="shared" si="319"/>
        <v>1.8000000000000003</v>
      </c>
      <c r="CC200" s="153">
        <f t="shared" si="320"/>
        <v>0.87311436278008325</v>
      </c>
      <c r="CD200" s="5">
        <f t="shared" si="321"/>
        <v>87.31143627800833</v>
      </c>
      <c r="CG200" s="59">
        <f t="shared" si="356"/>
        <v>-50</v>
      </c>
      <c r="CH200">
        <f t="shared" si="357"/>
        <v>-50</v>
      </c>
    </row>
    <row r="201" spans="5:86" x14ac:dyDescent="0.25">
      <c r="E201" s="150">
        <v>91</v>
      </c>
      <c r="F201" s="191">
        <f t="shared" si="358"/>
        <v>9.1000000000000011E-2</v>
      </c>
      <c r="G201" s="191"/>
      <c r="H201" s="191">
        <f t="shared" si="322"/>
        <v>1.8200000000000003</v>
      </c>
      <c r="I201" s="472">
        <f t="shared" si="323"/>
        <v>9</v>
      </c>
      <c r="J201" s="386">
        <f t="shared" si="324"/>
        <v>20.32</v>
      </c>
      <c r="K201" s="386">
        <f t="shared" si="325"/>
        <v>29.32</v>
      </c>
      <c r="L201" s="386"/>
      <c r="M201" s="191">
        <f t="shared" si="326"/>
        <v>0.69304229195088674</v>
      </c>
      <c r="N201" s="152">
        <f t="shared" si="327"/>
        <v>2.1101682401091408</v>
      </c>
      <c r="O201" s="152">
        <f t="shared" si="363"/>
        <v>1.8200000000000003</v>
      </c>
      <c r="P201" s="191">
        <f t="shared" si="328"/>
        <v>0.10550841200545705</v>
      </c>
      <c r="Q201" s="191">
        <f t="shared" si="329"/>
        <v>20</v>
      </c>
      <c r="R201" s="191"/>
      <c r="S201" s="152">
        <f t="shared" si="330"/>
        <v>24.495178877903406</v>
      </c>
      <c r="T201" s="152">
        <f t="shared" si="331"/>
        <v>20</v>
      </c>
      <c r="U201" s="191">
        <f t="shared" si="332"/>
        <v>0.6484203363468457</v>
      </c>
      <c r="V201" s="191">
        <f t="shared" si="333"/>
        <v>10.807005605780759</v>
      </c>
      <c r="W201" s="191">
        <f t="shared" si="334"/>
        <v>4.7865674435052572</v>
      </c>
      <c r="X201" s="175">
        <f t="shared" si="335"/>
        <v>277.21691678035478</v>
      </c>
      <c r="Y201" s="386">
        <f t="shared" si="303"/>
        <v>64.128984219289435</v>
      </c>
      <c r="AA201" s="191">
        <f t="shared" si="336"/>
        <v>0.14999999999999997</v>
      </c>
      <c r="AB201" s="153">
        <f t="shared" si="337"/>
        <v>1.1072834645669287</v>
      </c>
      <c r="AC201" s="153">
        <f t="shared" si="338"/>
        <v>2.3021828103683487E-2</v>
      </c>
      <c r="AD201" s="153"/>
      <c r="AE201" s="153">
        <f t="shared" si="339"/>
        <v>1.1072834645669289</v>
      </c>
      <c r="AF201" s="317">
        <f t="shared" si="340"/>
        <v>1095.774814814815</v>
      </c>
      <c r="AG201" s="463">
        <f t="shared" si="341"/>
        <v>2.3021828103683497E-2</v>
      </c>
      <c r="AI201" s="153">
        <f t="shared" si="342"/>
        <v>0.2654103740750664</v>
      </c>
      <c r="AJ201" s="153">
        <f t="shared" si="343"/>
        <v>0.6484203363468457</v>
      </c>
      <c r="AK201" s="153">
        <f t="shared" si="344"/>
        <v>1.5322802242312306</v>
      </c>
      <c r="AM201" s="317">
        <f t="shared" si="345"/>
        <v>91.000000000000014</v>
      </c>
      <c r="AN201" s="147">
        <f t="shared" si="346"/>
        <v>64.128984219289435</v>
      </c>
      <c r="AP201">
        <f t="shared" si="347"/>
        <v>91.000000000000014</v>
      </c>
      <c r="AQ201">
        <f t="shared" si="348"/>
        <v>64.128984219289435</v>
      </c>
      <c r="AS201" s="5">
        <f t="shared" si="364"/>
        <v>15.593573049286018</v>
      </c>
      <c r="AT201" s="5">
        <f t="shared" si="349"/>
        <v>10.807005605780759</v>
      </c>
      <c r="AU201" s="5">
        <f t="shared" si="304"/>
        <v>4.786567443505259</v>
      </c>
      <c r="AV201" s="5"/>
      <c r="AW201" s="153">
        <f t="shared" si="305"/>
        <v>0.69304229195088674</v>
      </c>
      <c r="AX201" s="153">
        <f t="shared" si="360"/>
        <v>2.022222222222223</v>
      </c>
      <c r="AY201" s="153">
        <f t="shared" si="361"/>
        <v>9.9518810148731443E-2</v>
      </c>
      <c r="AZ201" s="153">
        <f t="shared" si="365"/>
        <v>20.32</v>
      </c>
      <c r="BA201" s="147">
        <f t="shared" si="350"/>
        <v>7.5578700647486725</v>
      </c>
      <c r="BB201" s="147">
        <f t="shared" si="351"/>
        <v>47.507854670370378</v>
      </c>
      <c r="BC201" s="5">
        <f t="shared" si="359"/>
        <v>1.0755003391579721</v>
      </c>
      <c r="BD201" s="147">
        <f t="shared" si="352"/>
        <v>108.22410798987126</v>
      </c>
      <c r="BF201" s="153">
        <f t="shared" si="366"/>
        <v>0.31165626999907009</v>
      </c>
      <c r="BG201" s="153">
        <f t="shared" si="362"/>
        <v>0.2074126649130156</v>
      </c>
      <c r="BI201" s="463">
        <f t="shared" si="306"/>
        <v>3.3995370720406641E-2</v>
      </c>
      <c r="BJ201" s="463">
        <f t="shared" si="307"/>
        <v>6.0960000000000016E-3</v>
      </c>
      <c r="BK201" s="463">
        <f t="shared" si="308"/>
        <v>8.0161230274111781E-4</v>
      </c>
      <c r="BL201" s="463">
        <f t="shared" si="309"/>
        <v>2.7564638241758246E-3</v>
      </c>
      <c r="BM201">
        <f t="shared" si="310"/>
        <v>2.6099999999999999E-3</v>
      </c>
      <c r="BN201">
        <f t="shared" si="353"/>
        <v>6.4128984219289439E-7</v>
      </c>
      <c r="BO201" s="463">
        <f t="shared" si="354"/>
        <v>5.1170411470822012E-2</v>
      </c>
      <c r="BP201" s="147">
        <f t="shared" si="311"/>
        <v>46.259446847323588</v>
      </c>
      <c r="BQ201" s="463">
        <f t="shared" si="355"/>
        <v>6.7629290364667652E-2</v>
      </c>
      <c r="BT201" s="147">
        <f t="shared" si="312"/>
        <v>67.629290364667654</v>
      </c>
      <c r="BU201" s="463">
        <f t="shared" si="313"/>
        <v>7.7703704503786622E-2</v>
      </c>
      <c r="BV201" s="463">
        <f t="shared" si="314"/>
        <v>3.4243930798789846E-2</v>
      </c>
      <c r="BW201" s="463">
        <f t="shared" si="315"/>
        <v>0</v>
      </c>
      <c r="BX201" s="463"/>
      <c r="BY201" s="463">
        <f t="shared" si="316"/>
        <v>4.0444444444444463E-2</v>
      </c>
      <c r="BZ201" s="147">
        <f t="shared" si="317"/>
        <v>152.39207974702094</v>
      </c>
      <c r="CA201" s="153">
        <f t="shared" si="318"/>
        <v>0.26628081695901218</v>
      </c>
      <c r="CB201" s="5">
        <f t="shared" si="319"/>
        <v>1.8200000000000003</v>
      </c>
      <c r="CC201" s="153">
        <f t="shared" si="320"/>
        <v>0.87236578374566753</v>
      </c>
      <c r="CD201" s="5">
        <f t="shared" si="321"/>
        <v>87.236578374566747</v>
      </c>
      <c r="CG201" s="59">
        <f t="shared" si="356"/>
        <v>-50</v>
      </c>
      <c r="CH201">
        <f t="shared" si="357"/>
        <v>-50</v>
      </c>
    </row>
    <row r="202" spans="5:86" x14ac:dyDescent="0.25">
      <c r="E202" s="150">
        <v>92</v>
      </c>
      <c r="F202" s="191">
        <f t="shared" si="358"/>
        <v>9.2000000000000012E-2</v>
      </c>
      <c r="G202" s="191"/>
      <c r="H202" s="191">
        <f t="shared" si="322"/>
        <v>1.8400000000000003</v>
      </c>
      <c r="I202" s="472">
        <f t="shared" si="323"/>
        <v>9</v>
      </c>
      <c r="J202" s="386">
        <f t="shared" si="324"/>
        <v>20.32</v>
      </c>
      <c r="K202" s="386">
        <f t="shared" si="325"/>
        <v>29.32</v>
      </c>
      <c r="L202" s="386"/>
      <c r="M202" s="191">
        <f t="shared" si="326"/>
        <v>0.69304229195088674</v>
      </c>
      <c r="N202" s="152">
        <f t="shared" si="327"/>
        <v>2.1101682401091408</v>
      </c>
      <c r="O202" s="152">
        <f t="shared" si="363"/>
        <v>1.8400000000000003</v>
      </c>
      <c r="P202" s="191">
        <f t="shared" si="328"/>
        <v>0.10550841200545705</v>
      </c>
      <c r="Q202" s="191">
        <f t="shared" si="329"/>
        <v>20</v>
      </c>
      <c r="R202" s="191"/>
      <c r="S202" s="152">
        <f t="shared" si="330"/>
        <v>24.134076124821444</v>
      </c>
      <c r="T202" s="152">
        <f t="shared" si="331"/>
        <v>20</v>
      </c>
      <c r="U202" s="191">
        <f t="shared" si="332"/>
        <v>0.65554583454845938</v>
      </c>
      <c r="V202" s="191">
        <f t="shared" si="333"/>
        <v>10.92576390914099</v>
      </c>
      <c r="W202" s="191">
        <f t="shared" si="334"/>
        <v>4.8391670857415798</v>
      </c>
      <c r="X202" s="175">
        <f t="shared" si="335"/>
        <v>277.21691678035478</v>
      </c>
      <c r="Y202" s="386">
        <f t="shared" si="303"/>
        <v>63.431930042992803</v>
      </c>
      <c r="AA202" s="191">
        <f t="shared" si="336"/>
        <v>0.14999999999999997</v>
      </c>
      <c r="AB202" s="153">
        <f t="shared" si="337"/>
        <v>1.1072834645669287</v>
      </c>
      <c r="AC202" s="153">
        <f t="shared" si="338"/>
        <v>2.3021828103683487E-2</v>
      </c>
      <c r="AD202" s="153"/>
      <c r="AE202" s="153">
        <f t="shared" si="339"/>
        <v>1.1072834645669289</v>
      </c>
      <c r="AF202" s="317">
        <f t="shared" si="340"/>
        <v>1107.8162962962967</v>
      </c>
      <c r="AG202" s="463">
        <f t="shared" si="341"/>
        <v>2.3021828103683497E-2</v>
      </c>
      <c r="AI202" s="153">
        <f t="shared" si="342"/>
        <v>0.26686468838113808</v>
      </c>
      <c r="AJ202" s="153">
        <f t="shared" si="343"/>
        <v>0.65554583454845938</v>
      </c>
      <c r="AK202" s="153">
        <f t="shared" si="344"/>
        <v>1.5370305563656395</v>
      </c>
      <c r="AM202" s="317">
        <f t="shared" si="345"/>
        <v>92.000000000000014</v>
      </c>
      <c r="AN202" s="147">
        <f t="shared" si="346"/>
        <v>63.431930042992803</v>
      </c>
      <c r="AP202">
        <f t="shared" si="347"/>
        <v>92.000000000000014</v>
      </c>
      <c r="AQ202">
        <f t="shared" si="348"/>
        <v>63.431930042992803</v>
      </c>
      <c r="AS202" s="5">
        <f t="shared" si="364"/>
        <v>15.764930994882569</v>
      </c>
      <c r="AT202" s="5">
        <f t="shared" si="349"/>
        <v>10.92576390914099</v>
      </c>
      <c r="AU202" s="5">
        <f t="shared" si="304"/>
        <v>4.8391670857415789</v>
      </c>
      <c r="AV202" s="5"/>
      <c r="AW202" s="153">
        <f t="shared" si="305"/>
        <v>0.69304229195088685</v>
      </c>
      <c r="AX202" s="153">
        <f t="shared" si="360"/>
        <v>2.0444444444444447</v>
      </c>
      <c r="AY202" s="153">
        <f t="shared" si="361"/>
        <v>0.10061242344706911</v>
      </c>
      <c r="AZ202" s="153">
        <f t="shared" si="365"/>
        <v>20.320000000000004</v>
      </c>
      <c r="BA202" s="147">
        <f t="shared" si="350"/>
        <v>7.5578700647486725</v>
      </c>
      <c r="BB202" s="147">
        <f t="shared" si="351"/>
        <v>48.554687348148157</v>
      </c>
      <c r="BC202" s="5">
        <f t="shared" si="359"/>
        <v>1.0992675849091984</v>
      </c>
      <c r="BD202" s="147">
        <f t="shared" si="352"/>
        <v>110.60823997240132</v>
      </c>
      <c r="BF202" s="153">
        <f t="shared" si="366"/>
        <v>0.31508106417488407</v>
      </c>
      <c r="BG202" s="153">
        <f t="shared" si="362"/>
        <v>0.20969192496700473</v>
      </c>
      <c r="BI202" s="463">
        <f t="shared" si="306"/>
        <v>3.4746626950552091E-2</v>
      </c>
      <c r="BJ202" s="463">
        <f t="shared" si="307"/>
        <v>6.0959999999999999E-3</v>
      </c>
      <c r="BK202" s="463">
        <f t="shared" si="308"/>
        <v>7.9289912553741002E-4</v>
      </c>
      <c r="BL202" s="463">
        <f t="shared" si="309"/>
        <v>2.7265022608695651E-3</v>
      </c>
      <c r="BM202">
        <f t="shared" si="310"/>
        <v>2.6099999999999999E-3</v>
      </c>
      <c r="BN202">
        <f t="shared" si="353"/>
        <v>6.3431930042992802E-7</v>
      </c>
      <c r="BO202" s="463">
        <f t="shared" si="354"/>
        <v>5.1996795892808888E-2</v>
      </c>
      <c r="BP202" s="147">
        <f t="shared" si="311"/>
        <v>46.97202833695907</v>
      </c>
      <c r="BQ202" s="463">
        <f t="shared" si="355"/>
        <v>6.8737617394825118E-2</v>
      </c>
      <c r="BT202" s="147">
        <f t="shared" si="312"/>
        <v>68.737617394825122</v>
      </c>
      <c r="BU202" s="463">
        <f t="shared" si="313"/>
        <v>7.9420861601261938E-2</v>
      </c>
      <c r="BV202" s="463">
        <f t="shared" si="314"/>
        <v>3.5000679903508879E-2</v>
      </c>
      <c r="BW202" s="463">
        <f t="shared" si="315"/>
        <v>0</v>
      </c>
      <c r="BX202" s="463"/>
      <c r="BY202" s="463">
        <f t="shared" si="316"/>
        <v>4.0888888888888905E-2</v>
      </c>
      <c r="BZ202" s="147">
        <f t="shared" si="317"/>
        <v>155.31043039365971</v>
      </c>
      <c r="CA202" s="153">
        <f t="shared" si="318"/>
        <v>0.27102007612544393</v>
      </c>
      <c r="CB202" s="5">
        <f t="shared" si="319"/>
        <v>1.8400000000000003</v>
      </c>
      <c r="CC202" s="153">
        <f t="shared" si="320"/>
        <v>0.87161653307301901</v>
      </c>
      <c r="CD202" s="5">
        <f t="shared" si="321"/>
        <v>87.161653307301904</v>
      </c>
      <c r="CG202" s="59">
        <f t="shared" si="356"/>
        <v>-50</v>
      </c>
      <c r="CH202">
        <f t="shared" si="357"/>
        <v>-50</v>
      </c>
    </row>
    <row r="203" spans="5:86" x14ac:dyDescent="0.25">
      <c r="E203" s="150">
        <v>93</v>
      </c>
      <c r="F203" s="191">
        <f t="shared" si="358"/>
        <v>9.3000000000000013E-2</v>
      </c>
      <c r="G203" s="191"/>
      <c r="H203" s="191">
        <f t="shared" si="322"/>
        <v>1.8600000000000003</v>
      </c>
      <c r="I203" s="472">
        <f t="shared" si="323"/>
        <v>9</v>
      </c>
      <c r="J203" s="386">
        <f t="shared" si="324"/>
        <v>20.32</v>
      </c>
      <c r="K203" s="386">
        <f t="shared" si="325"/>
        <v>29.32</v>
      </c>
      <c r="L203" s="386"/>
      <c r="M203" s="191">
        <f t="shared" si="326"/>
        <v>0.69304229195088674</v>
      </c>
      <c r="N203" s="152">
        <f t="shared" si="327"/>
        <v>2.1101682401091408</v>
      </c>
      <c r="O203" s="152">
        <f t="shared" si="363"/>
        <v>1.8600000000000003</v>
      </c>
      <c r="P203" s="191">
        <f t="shared" si="328"/>
        <v>0.10550841200545705</v>
      </c>
      <c r="Q203" s="191">
        <f t="shared" si="329"/>
        <v>20</v>
      </c>
      <c r="R203" s="191"/>
      <c r="S203" s="152">
        <f t="shared" si="330"/>
        <v>23.780788487608756</v>
      </c>
      <c r="T203" s="152">
        <f t="shared" si="331"/>
        <v>20</v>
      </c>
      <c r="U203" s="191">
        <f t="shared" si="332"/>
        <v>0.66267133275007306</v>
      </c>
      <c r="V203" s="191">
        <f t="shared" si="333"/>
        <v>11.044522212501217</v>
      </c>
      <c r="W203" s="191">
        <f t="shared" si="334"/>
        <v>4.8917667279779016</v>
      </c>
      <c r="X203" s="175">
        <f t="shared" si="335"/>
        <v>277.21691678035478</v>
      </c>
      <c r="Y203" s="386">
        <f t="shared" si="303"/>
        <v>62.749866279089645</v>
      </c>
      <c r="AA203" s="191">
        <f t="shared" si="336"/>
        <v>0.14999999999999997</v>
      </c>
      <c r="AB203" s="153">
        <f t="shared" si="337"/>
        <v>1.1072834645669287</v>
      </c>
      <c r="AC203" s="153">
        <f t="shared" si="338"/>
        <v>2.3021828103683487E-2</v>
      </c>
      <c r="AD203" s="153"/>
      <c r="AE203" s="153">
        <f t="shared" si="339"/>
        <v>1.1072834645669289</v>
      </c>
      <c r="AF203" s="317">
        <f t="shared" si="340"/>
        <v>1119.857777777778</v>
      </c>
      <c r="AG203" s="463">
        <f t="shared" si="341"/>
        <v>2.3021828103683497E-2</v>
      </c>
      <c r="AI203" s="153">
        <f t="shared" si="342"/>
        <v>0.26831112005069258</v>
      </c>
      <c r="AJ203" s="153">
        <f t="shared" si="343"/>
        <v>0.66267133275007306</v>
      </c>
      <c r="AK203" s="153">
        <f t="shared" si="344"/>
        <v>1.5417808885000488</v>
      </c>
      <c r="AM203" s="317">
        <f t="shared" si="345"/>
        <v>93.000000000000014</v>
      </c>
      <c r="AN203" s="147">
        <f t="shared" si="346"/>
        <v>62.749866279089645</v>
      </c>
      <c r="AP203">
        <f t="shared" si="347"/>
        <v>93.000000000000014</v>
      </c>
      <c r="AQ203">
        <f t="shared" si="348"/>
        <v>62.749866279089645</v>
      </c>
      <c r="AS203" s="5">
        <f t="shared" si="364"/>
        <v>15.936288940479121</v>
      </c>
      <c r="AT203" s="5">
        <f t="shared" si="349"/>
        <v>11.044522212501217</v>
      </c>
      <c r="AU203" s="5">
        <f t="shared" si="304"/>
        <v>4.8917667279779042</v>
      </c>
      <c r="AV203" s="5"/>
      <c r="AW203" s="153">
        <f t="shared" si="305"/>
        <v>0.69304229195088662</v>
      </c>
      <c r="AX203" s="153">
        <f t="shared" si="360"/>
        <v>2.0666666666666669</v>
      </c>
      <c r="AY203" s="153">
        <f t="shared" si="361"/>
        <v>0.10170603674540689</v>
      </c>
      <c r="AZ203" s="153">
        <f t="shared" si="365"/>
        <v>20.31999999999999</v>
      </c>
      <c r="BA203" s="147">
        <f t="shared" si="350"/>
        <v>7.5578700647486725</v>
      </c>
      <c r="BB203" s="147">
        <f t="shared" si="351"/>
        <v>49.612928033333333</v>
      </c>
      <c r="BC203" s="5">
        <f t="shared" si="359"/>
        <v>1.1232945819801115</v>
      </c>
      <c r="BD203" s="147">
        <f t="shared" si="352"/>
        <v>113.01834708690004</v>
      </c>
      <c r="BF203" s="153">
        <f t="shared" si="366"/>
        <v>0.31850585835069795</v>
      </c>
      <c r="BG203" s="153">
        <f t="shared" si="362"/>
        <v>0.21197118502099399</v>
      </c>
      <c r="BI203" s="463">
        <f t="shared" si="306"/>
        <v>3.5506093631300202E-2</v>
      </c>
      <c r="BJ203" s="463">
        <f t="shared" si="307"/>
        <v>6.095999999999999E-3</v>
      </c>
      <c r="BK203" s="463">
        <f t="shared" si="308"/>
        <v>7.8437332848862052E-4</v>
      </c>
      <c r="BL203" s="463">
        <f t="shared" si="309"/>
        <v>2.6971850322580638E-3</v>
      </c>
      <c r="BM203">
        <f t="shared" si="310"/>
        <v>2.6099999999999999E-3</v>
      </c>
      <c r="BN203">
        <f t="shared" si="353"/>
        <v>6.2749866279089641E-7</v>
      </c>
      <c r="BO203" s="463">
        <f t="shared" si="354"/>
        <v>5.2833709116840218E-2</v>
      </c>
      <c r="BP203" s="147">
        <f t="shared" si="311"/>
        <v>47.693651992046888</v>
      </c>
      <c r="BQ203" s="463">
        <f t="shared" si="355"/>
        <v>6.9853882425312222E-2</v>
      </c>
      <c r="BT203" s="147">
        <f t="shared" si="312"/>
        <v>69.853882425312221</v>
      </c>
      <c r="BU203" s="463">
        <f t="shared" si="313"/>
        <v>8.115678544297189E-2</v>
      </c>
      <c r="BV203" s="463">
        <f t="shared" si="314"/>
        <v>3.5765699490246758E-2</v>
      </c>
      <c r="BW203" s="463">
        <f t="shared" si="315"/>
        <v>0</v>
      </c>
      <c r="BX203" s="463"/>
      <c r="BY203" s="463">
        <f t="shared" si="316"/>
        <v>4.133333333333334E-2</v>
      </c>
      <c r="BZ203" s="147">
        <f t="shared" si="317"/>
        <v>158.25581826655198</v>
      </c>
      <c r="CA203" s="153">
        <f t="shared" si="318"/>
        <v>0.2758033526839111</v>
      </c>
      <c r="CB203" s="5">
        <f t="shared" si="319"/>
        <v>1.8600000000000003</v>
      </c>
      <c r="CC203" s="153">
        <f t="shared" si="320"/>
        <v>0.87086669175917863</v>
      </c>
      <c r="CD203" s="5">
        <f t="shared" si="321"/>
        <v>87.086669175917862</v>
      </c>
      <c r="CG203" s="59">
        <f t="shared" si="356"/>
        <v>-50</v>
      </c>
      <c r="CH203">
        <f t="shared" si="357"/>
        <v>-50</v>
      </c>
    </row>
    <row r="204" spans="5:86" x14ac:dyDescent="0.25">
      <c r="E204" s="150">
        <v>94</v>
      </c>
      <c r="F204" s="191">
        <f t="shared" si="358"/>
        <v>9.4E-2</v>
      </c>
      <c r="G204" s="191"/>
      <c r="H204" s="191">
        <f t="shared" si="322"/>
        <v>1.88</v>
      </c>
      <c r="I204" s="472">
        <f t="shared" si="323"/>
        <v>9</v>
      </c>
      <c r="J204" s="386">
        <f t="shared" si="324"/>
        <v>20.32</v>
      </c>
      <c r="K204" s="386">
        <f t="shared" si="325"/>
        <v>29.32</v>
      </c>
      <c r="L204" s="386"/>
      <c r="M204" s="191">
        <f t="shared" si="326"/>
        <v>0.69304229195088674</v>
      </c>
      <c r="N204" s="152">
        <f t="shared" si="327"/>
        <v>2.1101682401091408</v>
      </c>
      <c r="O204" s="152">
        <f t="shared" si="363"/>
        <v>1.88</v>
      </c>
      <c r="P204" s="191">
        <f t="shared" si="328"/>
        <v>0.10550841200545705</v>
      </c>
      <c r="Q204" s="191">
        <f t="shared" si="329"/>
        <v>20</v>
      </c>
      <c r="R204" s="191"/>
      <c r="S204" s="152">
        <f t="shared" si="330"/>
        <v>23.435067079067995</v>
      </c>
      <c r="T204" s="152">
        <f t="shared" si="331"/>
        <v>20</v>
      </c>
      <c r="U204" s="191">
        <f t="shared" si="332"/>
        <v>0.66979683095168663</v>
      </c>
      <c r="V204" s="191">
        <f t="shared" si="333"/>
        <v>11.163280515861443</v>
      </c>
      <c r="W204" s="191">
        <f t="shared" si="334"/>
        <v>4.9443663702142215</v>
      </c>
      <c r="X204" s="175">
        <f t="shared" si="335"/>
        <v>277.21691678035478</v>
      </c>
      <c r="Y204" s="386">
        <f t="shared" si="303"/>
        <v>62.082314510163179</v>
      </c>
      <c r="AA204" s="191">
        <f t="shared" si="336"/>
        <v>0.14999999999999997</v>
      </c>
      <c r="AB204" s="153">
        <f t="shared" si="337"/>
        <v>1.1072834645669287</v>
      </c>
      <c r="AC204" s="153">
        <f t="shared" si="338"/>
        <v>2.3021828103683487E-2</v>
      </c>
      <c r="AD204" s="153"/>
      <c r="AE204" s="153">
        <f t="shared" si="339"/>
        <v>1.1072834645669289</v>
      </c>
      <c r="AF204" s="317">
        <f t="shared" si="340"/>
        <v>1131.8992592592592</v>
      </c>
      <c r="AG204" s="463">
        <f t="shared" si="341"/>
        <v>2.3021828103683497E-2</v>
      </c>
      <c r="AI204" s="153">
        <f t="shared" si="342"/>
        <v>0.2697497958867669</v>
      </c>
      <c r="AJ204" s="153">
        <f t="shared" si="343"/>
        <v>0.66979683095168663</v>
      </c>
      <c r="AK204" s="153">
        <f t="shared" si="344"/>
        <v>1.5465312206344577</v>
      </c>
      <c r="AM204" s="317">
        <f t="shared" si="345"/>
        <v>94</v>
      </c>
      <c r="AN204" s="147">
        <f t="shared" si="346"/>
        <v>62.082314510163179</v>
      </c>
      <c r="AP204">
        <f t="shared" si="347"/>
        <v>94</v>
      </c>
      <c r="AQ204">
        <f t="shared" si="348"/>
        <v>62.082314510163179</v>
      </c>
      <c r="AS204" s="5">
        <f t="shared" si="364"/>
        <v>16.107646886075663</v>
      </c>
      <c r="AT204" s="5">
        <f t="shared" si="349"/>
        <v>11.163280515861443</v>
      </c>
      <c r="AU204" s="5">
        <f t="shared" si="304"/>
        <v>4.9443663702142207</v>
      </c>
      <c r="AV204" s="5"/>
      <c r="AW204" s="153">
        <f t="shared" si="305"/>
        <v>0.69304229195088685</v>
      </c>
      <c r="AX204" s="153">
        <f t="shared" si="360"/>
        <v>2.088888888888889</v>
      </c>
      <c r="AY204" s="153">
        <f t="shared" si="361"/>
        <v>0.10279965004374451</v>
      </c>
      <c r="AZ204" s="153">
        <f t="shared" si="365"/>
        <v>20.320000000000004</v>
      </c>
      <c r="BA204" s="147">
        <f t="shared" si="350"/>
        <v>7.5578700647486725</v>
      </c>
      <c r="BB204" s="147">
        <f t="shared" si="351"/>
        <v>50.682576725925912</v>
      </c>
      <c r="BC204" s="5">
        <f t="shared" si="359"/>
        <v>1.1475813303707079</v>
      </c>
      <c r="BD204" s="147">
        <f t="shared" si="352"/>
        <v>115.45442933336709</v>
      </c>
      <c r="BF204" s="153">
        <f t="shared" si="366"/>
        <v>0.32193065252651193</v>
      </c>
      <c r="BG204" s="153">
        <f t="shared" si="362"/>
        <v>0.21425044507498306</v>
      </c>
      <c r="BI204" s="463">
        <f t="shared" si="306"/>
        <v>3.6273770762651016E-2</v>
      </c>
      <c r="BJ204" s="463">
        <f t="shared" si="307"/>
        <v>6.0960000000000016E-3</v>
      </c>
      <c r="BK204" s="463">
        <f t="shared" si="308"/>
        <v>7.7602893137703973E-4</v>
      </c>
      <c r="BL204" s="463">
        <f t="shared" si="309"/>
        <v>2.6684915744680858E-3</v>
      </c>
      <c r="BM204">
        <f t="shared" si="310"/>
        <v>2.6099999999999999E-3</v>
      </c>
      <c r="BN204">
        <f t="shared" si="353"/>
        <v>6.2082314510163183E-7</v>
      </c>
      <c r="BO204" s="463">
        <f t="shared" si="354"/>
        <v>5.3681132699887717E-2</v>
      </c>
      <c r="BP204" s="147">
        <f t="shared" si="311"/>
        <v>48.424291268496148</v>
      </c>
      <c r="BQ204" s="463">
        <f t="shared" si="355"/>
        <v>7.0978085456128853E-2</v>
      </c>
      <c r="BT204" s="147">
        <f t="shared" si="312"/>
        <v>70.978085456128852</v>
      </c>
      <c r="BU204" s="463">
        <f t="shared" si="313"/>
        <v>8.2911476028916617E-2</v>
      </c>
      <c r="BV204" s="463">
        <f t="shared" si="314"/>
        <v>3.6538989559003358E-2</v>
      </c>
      <c r="BW204" s="463">
        <f t="shared" si="315"/>
        <v>0</v>
      </c>
      <c r="BX204" s="463"/>
      <c r="BY204" s="463">
        <f t="shared" si="316"/>
        <v>4.1777777777777782E-2</v>
      </c>
      <c r="BZ204" s="147">
        <f t="shared" si="317"/>
        <v>161.22824336569775</v>
      </c>
      <c r="CA204" s="153">
        <f t="shared" si="318"/>
        <v>0.2806306200903228</v>
      </c>
      <c r="CB204" s="5">
        <f t="shared" si="319"/>
        <v>1.88</v>
      </c>
      <c r="CC204" s="153">
        <f t="shared" si="320"/>
        <v>0.8701163366468484</v>
      </c>
      <c r="CD204" s="5">
        <f t="shared" si="321"/>
        <v>87.011633664684837</v>
      </c>
      <c r="CG204" s="59">
        <f t="shared" si="356"/>
        <v>-50</v>
      </c>
      <c r="CH204">
        <f t="shared" si="357"/>
        <v>-50</v>
      </c>
    </row>
    <row r="205" spans="5:86" x14ac:dyDescent="0.25">
      <c r="E205" s="150">
        <v>95</v>
      </c>
      <c r="F205" s="191">
        <f t="shared" si="358"/>
        <v>9.5000000000000001E-2</v>
      </c>
      <c r="G205" s="191"/>
      <c r="H205" s="191">
        <f t="shared" si="322"/>
        <v>1.9</v>
      </c>
      <c r="I205" s="472">
        <f t="shared" si="323"/>
        <v>9</v>
      </c>
      <c r="J205" s="386">
        <f t="shared" si="324"/>
        <v>20.32</v>
      </c>
      <c r="K205" s="386">
        <f t="shared" si="325"/>
        <v>29.32</v>
      </c>
      <c r="L205" s="386"/>
      <c r="M205" s="191">
        <f t="shared" si="326"/>
        <v>0.69304229195088674</v>
      </c>
      <c r="N205" s="152">
        <f t="shared" si="327"/>
        <v>2.1101682401091408</v>
      </c>
      <c r="O205" s="152">
        <f t="shared" si="363"/>
        <v>1.9</v>
      </c>
      <c r="P205" s="191">
        <f t="shared" si="328"/>
        <v>0.10550841200545705</v>
      </c>
      <c r="Q205" s="191">
        <f t="shared" si="329"/>
        <v>20</v>
      </c>
      <c r="R205" s="191"/>
      <c r="S205" s="152">
        <f t="shared" si="330"/>
        <v>23.096673498487565</v>
      </c>
      <c r="T205" s="152">
        <f t="shared" si="331"/>
        <v>20</v>
      </c>
      <c r="U205" s="191">
        <f t="shared" si="332"/>
        <v>0.67692232915330031</v>
      </c>
      <c r="V205" s="191">
        <f t="shared" si="333"/>
        <v>11.282038819221672</v>
      </c>
      <c r="W205" s="191">
        <f t="shared" si="334"/>
        <v>4.9969660124505433</v>
      </c>
      <c r="X205" s="175">
        <f t="shared" si="335"/>
        <v>277.21691678035478</v>
      </c>
      <c r="Y205" s="386">
        <f t="shared" si="303"/>
        <v>61.428816462687784</v>
      </c>
      <c r="AA205" s="191">
        <f t="shared" si="336"/>
        <v>0.14999999999999997</v>
      </c>
      <c r="AB205" s="153">
        <f t="shared" si="337"/>
        <v>1.1072834645669287</v>
      </c>
      <c r="AC205" s="153">
        <f t="shared" si="338"/>
        <v>2.3021828103683487E-2</v>
      </c>
      <c r="AD205" s="153"/>
      <c r="AE205" s="153">
        <f t="shared" si="339"/>
        <v>1.1072834645669289</v>
      </c>
      <c r="AF205" s="317">
        <f t="shared" si="340"/>
        <v>1143.9407407407409</v>
      </c>
      <c r="AG205" s="463">
        <f t="shared" si="341"/>
        <v>2.3021828103683497E-2</v>
      </c>
      <c r="AI205" s="153">
        <f t="shared" si="342"/>
        <v>0.27118083932875425</v>
      </c>
      <c r="AJ205" s="153">
        <f t="shared" si="343"/>
        <v>0.67692232915330031</v>
      </c>
      <c r="AK205" s="153">
        <f t="shared" si="344"/>
        <v>1.5512815527688668</v>
      </c>
      <c r="AM205" s="317">
        <f t="shared" si="345"/>
        <v>95</v>
      </c>
      <c r="AN205" s="147">
        <f t="shared" si="346"/>
        <v>61.428816462687784</v>
      </c>
      <c r="AP205">
        <f t="shared" si="347"/>
        <v>95</v>
      </c>
      <c r="AQ205">
        <f t="shared" si="348"/>
        <v>61.428816462687784</v>
      </c>
      <c r="AS205" s="5">
        <f t="shared" si="364"/>
        <v>16.279004831672214</v>
      </c>
      <c r="AT205" s="5">
        <f t="shared" si="349"/>
        <v>11.282038819221672</v>
      </c>
      <c r="AU205" s="5">
        <f t="shared" si="304"/>
        <v>4.9969660124505424</v>
      </c>
      <c r="AV205" s="5"/>
      <c r="AW205" s="153">
        <f t="shared" si="305"/>
        <v>0.69304229195088685</v>
      </c>
      <c r="AX205" s="153">
        <f t="shared" si="360"/>
        <v>2.1111111111111112</v>
      </c>
      <c r="AY205" s="153">
        <f t="shared" si="361"/>
        <v>0.10389326334208222</v>
      </c>
      <c r="AZ205" s="153">
        <f t="shared" si="365"/>
        <v>20.320000000000004</v>
      </c>
      <c r="BA205" s="147">
        <f t="shared" si="350"/>
        <v>7.5578700647486725</v>
      </c>
      <c r="BB205" s="147">
        <f t="shared" si="351"/>
        <v>51.763633425925917</v>
      </c>
      <c r="BC205" s="5">
        <f t="shared" si="359"/>
        <v>1.1721278300809914</v>
      </c>
      <c r="BD205" s="147">
        <f t="shared" si="352"/>
        <v>117.91648671180285</v>
      </c>
      <c r="BF205" s="153">
        <f t="shared" si="366"/>
        <v>0.32535544670232591</v>
      </c>
      <c r="BG205" s="153">
        <f t="shared" si="362"/>
        <v>0.21652970512897224</v>
      </c>
      <c r="BI205" s="463">
        <f t="shared" si="306"/>
        <v>3.7049658344604511E-2</v>
      </c>
      <c r="BJ205" s="463">
        <f t="shared" si="307"/>
        <v>6.0960000000000016E-3</v>
      </c>
      <c r="BK205" s="463">
        <f t="shared" si="308"/>
        <v>7.6786020578359718E-4</v>
      </c>
      <c r="BL205" s="463">
        <f t="shared" si="309"/>
        <v>2.640402189473685E-3</v>
      </c>
      <c r="BM205">
        <f t="shared" si="310"/>
        <v>2.6099999999999999E-3</v>
      </c>
      <c r="BN205">
        <f t="shared" si="353"/>
        <v>6.142881646268779E-7</v>
      </c>
      <c r="BO205" s="463">
        <f t="shared" si="354"/>
        <v>5.4539049410185558E-2</v>
      </c>
      <c r="BP205" s="147">
        <f t="shared" si="311"/>
        <v>49.163920739861794</v>
      </c>
      <c r="BQ205" s="463">
        <f t="shared" si="355"/>
        <v>7.2110226487275123E-2</v>
      </c>
      <c r="BT205" s="147">
        <f t="shared" si="312"/>
        <v>72.110226487275128</v>
      </c>
      <c r="BU205" s="463">
        <f t="shared" si="313"/>
        <v>8.4684933359096035E-2</v>
      </c>
      <c r="BV205" s="463">
        <f t="shared" si="314"/>
        <v>3.7320550109778777E-2</v>
      </c>
      <c r="BW205" s="463">
        <f t="shared" si="315"/>
        <v>0</v>
      </c>
      <c r="BX205" s="463"/>
      <c r="BY205" s="463">
        <f t="shared" si="316"/>
        <v>4.222222222222223E-2</v>
      </c>
      <c r="BZ205" s="147">
        <f t="shared" si="317"/>
        <v>164.22770569109704</v>
      </c>
      <c r="CA205" s="153">
        <f t="shared" si="318"/>
        <v>0.28550185291823399</v>
      </c>
      <c r="CB205" s="5">
        <f t="shared" si="319"/>
        <v>1.9</v>
      </c>
      <c r="CC205" s="153">
        <f t="shared" si="320"/>
        <v>0.86936554067112226</v>
      </c>
      <c r="CD205" s="5">
        <f t="shared" si="321"/>
        <v>86.936554067112226</v>
      </c>
      <c r="CG205" s="59">
        <f t="shared" si="356"/>
        <v>-50</v>
      </c>
      <c r="CH205">
        <f t="shared" si="357"/>
        <v>-50</v>
      </c>
    </row>
    <row r="206" spans="5:86" x14ac:dyDescent="0.25">
      <c r="E206" s="150">
        <v>96</v>
      </c>
      <c r="F206" s="191">
        <f t="shared" si="358"/>
        <v>9.6000000000000002E-2</v>
      </c>
      <c r="G206" s="191"/>
      <c r="H206" s="191">
        <f t="shared" ref="H206:H210" si="367">F206*Vout</f>
        <v>1.92</v>
      </c>
      <c r="I206" s="472">
        <f t="shared" si="323"/>
        <v>9</v>
      </c>
      <c r="J206" s="386">
        <f t="shared" si="324"/>
        <v>20.32</v>
      </c>
      <c r="K206" s="386">
        <f t="shared" si="325"/>
        <v>29.32</v>
      </c>
      <c r="L206" s="386"/>
      <c r="M206" s="191">
        <f t="shared" si="326"/>
        <v>0.69304229195088674</v>
      </c>
      <c r="N206" s="152">
        <f t="shared" ref="N206:N210" si="368">M206*I206*(Isw_max+VIN_min/Lmag*ILIM_delay)*0.5*Efficiency</f>
        <v>2.1101682401091408</v>
      </c>
      <c r="O206" s="152">
        <f t="shared" si="363"/>
        <v>1.92</v>
      </c>
      <c r="P206" s="191">
        <f t="shared" ref="P206:P210" si="369">N206/Vout</f>
        <v>0.10550841200545705</v>
      </c>
      <c r="Q206" s="191">
        <f t="shared" si="329"/>
        <v>20</v>
      </c>
      <c r="R206" s="191"/>
      <c r="S206" s="152">
        <f t="shared" si="330"/>
        <v>22.765379285575012</v>
      </c>
      <c r="T206" s="152">
        <f t="shared" ref="T206:T210" si="370">MIN(Vout, S206)</f>
        <v>20</v>
      </c>
      <c r="U206" s="191">
        <f t="shared" si="332"/>
        <v>0.68404782735491398</v>
      </c>
      <c r="V206" s="191">
        <f t="shared" ref="V206:V210" si="371">L*U206/I206*1000000</f>
        <v>11.400797122581899</v>
      </c>
      <c r="W206" s="191">
        <f t="shared" si="334"/>
        <v>5.049565654686865</v>
      </c>
      <c r="X206" s="175">
        <f t="shared" si="335"/>
        <v>277.21691678035478</v>
      </c>
      <c r="Y206" s="386">
        <f t="shared" si="303"/>
        <v>60.788932957868106</v>
      </c>
      <c r="AA206" s="191">
        <f t="shared" si="336"/>
        <v>0.14999999999999997</v>
      </c>
      <c r="AB206" s="153">
        <f t="shared" ref="AB206:AB210" si="372">L*AA206/J206*1000000</f>
        <v>1.1072834645669287</v>
      </c>
      <c r="AC206" s="153">
        <f t="shared" ref="AC206:AC210" si="373">0.5*AB206*AA206*Nps*X206/1000</f>
        <v>2.3021828103683487E-2</v>
      </c>
      <c r="AD206" s="153"/>
      <c r="AE206" s="153">
        <f t="shared" si="339"/>
        <v>1.1072834645669289</v>
      </c>
      <c r="AF206" s="317">
        <f t="shared" ref="AF206:AF210" si="374">MAX(12000,F206/(0.5*AE206/1000000*Isw_min*Nps))/1000</f>
        <v>1155.9822222222222</v>
      </c>
      <c r="AG206" s="463">
        <f t="shared" si="341"/>
        <v>2.3021828103683497E-2</v>
      </c>
      <c r="AI206" s="153">
        <f t="shared" si="342"/>
        <v>0.2726043705760105</v>
      </c>
      <c r="AJ206" s="153">
        <f t="shared" ref="AJ206:AJ210" si="375">MAX(IF(F206&gt;AC206,U206,AI206),Isw_min)</f>
        <v>0.68404782735491398</v>
      </c>
      <c r="AK206" s="153">
        <f t="shared" ref="AK206:AK210" si="376">IF(F206&gt;AG206, (AJ206-Isw_min)/1.2*0.8+1.2, AF206*0.2/350+1)</f>
        <v>1.5560318849032759</v>
      </c>
      <c r="AM206" s="317">
        <f t="shared" si="345"/>
        <v>96</v>
      </c>
      <c r="AN206" s="147">
        <f t="shared" si="346"/>
        <v>60.788932957868106</v>
      </c>
      <c r="AP206">
        <f t="shared" si="347"/>
        <v>96</v>
      </c>
      <c r="AQ206">
        <f t="shared" si="348"/>
        <v>60.788932957868106</v>
      </c>
      <c r="AS206" s="5">
        <f t="shared" si="364"/>
        <v>16.450362777268765</v>
      </c>
      <c r="AT206" s="5">
        <f t="shared" si="349"/>
        <v>11.400797122581899</v>
      </c>
      <c r="AU206" s="5">
        <f t="shared" si="304"/>
        <v>5.0495656546868659</v>
      </c>
      <c r="AV206" s="5"/>
      <c r="AW206" s="153">
        <f t="shared" si="305"/>
        <v>0.69304229195088674</v>
      </c>
      <c r="AX206" s="153">
        <f t="shared" si="360"/>
        <v>2.1333333333333324</v>
      </c>
      <c r="AY206" s="153">
        <f t="shared" si="361"/>
        <v>0.10498687664041996</v>
      </c>
      <c r="AZ206" s="153">
        <f t="shared" si="365"/>
        <v>20.31999999999999</v>
      </c>
      <c r="BA206" s="147">
        <f t="shared" si="350"/>
        <v>7.5578700647486725</v>
      </c>
      <c r="BB206" s="147">
        <f t="shared" si="351"/>
        <v>52.856098133333319</v>
      </c>
      <c r="BC206" s="5">
        <f t="shared" si="359"/>
        <v>1.1969340811109608</v>
      </c>
      <c r="BD206" s="147">
        <f t="shared" si="352"/>
        <v>120.40451922220718</v>
      </c>
      <c r="BF206" s="153">
        <f t="shared" si="366"/>
        <v>0.32878024087813978</v>
      </c>
      <c r="BG206" s="153">
        <f t="shared" si="362"/>
        <v>0.21880896518296145</v>
      </c>
      <c r="BI206" s="463">
        <f t="shared" si="306"/>
        <v>3.7833756377160667E-2</v>
      </c>
      <c r="BJ206" s="463">
        <f t="shared" si="307"/>
        <v>6.095999999999999E-3</v>
      </c>
      <c r="BK206" s="463">
        <f t="shared" si="308"/>
        <v>7.5986166197335126E-4</v>
      </c>
      <c r="BL206" s="463">
        <f t="shared" si="309"/>
        <v>2.6128979999999998E-3</v>
      </c>
      <c r="BM206">
        <f t="shared" si="310"/>
        <v>2.6099999999999999E-3</v>
      </c>
      <c r="BN206">
        <f t="shared" si="353"/>
        <v>6.0788932957868102E-7</v>
      </c>
      <c r="BO206" s="463">
        <f t="shared" ref="BO206:BO210" si="377">(BJ206+BK206+BL206+BM206+BN206+BI206*(1+RdsonTC*(Ta-25)))/(1-BI206*RdsonTC*ThetaJA)</f>
        <v>5.5407443169200925E-2</v>
      </c>
      <c r="BP206" s="147">
        <f t="shared" si="311"/>
        <v>49.912516039134019</v>
      </c>
      <c r="BQ206" s="463">
        <f t="shared" si="355"/>
        <v>7.3250305518750974E-2</v>
      </c>
      <c r="BT206" s="147">
        <f t="shared" si="312"/>
        <v>73.250305518750977</v>
      </c>
      <c r="BU206" s="463">
        <f t="shared" si="313"/>
        <v>8.6477157433510102E-2</v>
      </c>
      <c r="BV206" s="463">
        <f t="shared" si="314"/>
        <v>3.8110381142572994E-2</v>
      </c>
      <c r="BW206" s="463">
        <f t="shared" si="315"/>
        <v>0</v>
      </c>
      <c r="BX206" s="463"/>
      <c r="BY206" s="463">
        <f t="shared" si="316"/>
        <v>4.2666666666666665E-2</v>
      </c>
      <c r="BZ206" s="147">
        <f t="shared" si="317"/>
        <v>167.25420524274975</v>
      </c>
      <c r="CA206" s="153">
        <f t="shared" si="318"/>
        <v>0.29041702680063475</v>
      </c>
      <c r="CB206" s="5">
        <f t="shared" si="319"/>
        <v>1.92</v>
      </c>
      <c r="CC206" s="153">
        <f t="shared" si="320"/>
        <v>0.86861437308914269</v>
      </c>
      <c r="CD206" s="5">
        <f t="shared" si="321"/>
        <v>86.861437308914276</v>
      </c>
      <c r="CG206" s="59">
        <f t="shared" si="356"/>
        <v>-50</v>
      </c>
      <c r="CH206">
        <f t="shared" si="357"/>
        <v>-50</v>
      </c>
    </row>
    <row r="207" spans="5:86" x14ac:dyDescent="0.25">
      <c r="E207" s="150">
        <v>97</v>
      </c>
      <c r="F207" s="191">
        <f t="shared" ref="F207:F210" si="378">IF(PLOT_TYPE=1, E207/100*Iout_max, min_I*EXP(N207*rr/100))</f>
        <v>9.7000000000000003E-2</v>
      </c>
      <c r="G207" s="191"/>
      <c r="H207" s="191">
        <f t="shared" si="367"/>
        <v>1.94</v>
      </c>
      <c r="I207" s="472">
        <f t="shared" si="323"/>
        <v>9</v>
      </c>
      <c r="J207" s="386">
        <f t="shared" si="324"/>
        <v>20.32</v>
      </c>
      <c r="K207" s="386">
        <f t="shared" si="325"/>
        <v>29.32</v>
      </c>
      <c r="L207" s="386"/>
      <c r="M207" s="191">
        <f t="shared" si="326"/>
        <v>0.69304229195088674</v>
      </c>
      <c r="N207" s="152">
        <f t="shared" si="368"/>
        <v>2.1101682401091408</v>
      </c>
      <c r="O207" s="152">
        <f t="shared" si="363"/>
        <v>1.94</v>
      </c>
      <c r="P207" s="191">
        <f t="shared" si="369"/>
        <v>0.10550841200545705</v>
      </c>
      <c r="Q207" s="191">
        <f t="shared" si="329"/>
        <v>20</v>
      </c>
      <c r="R207" s="191"/>
      <c r="S207" s="152">
        <f t="shared" si="330"/>
        <v>22.440965408169173</v>
      </c>
      <c r="T207" s="152">
        <f t="shared" si="370"/>
        <v>20</v>
      </c>
      <c r="U207" s="191">
        <f t="shared" si="332"/>
        <v>0.69117332555652766</v>
      </c>
      <c r="V207" s="191">
        <f t="shared" si="371"/>
        <v>11.519555425942126</v>
      </c>
      <c r="W207" s="191">
        <f t="shared" si="334"/>
        <v>5.1021652969231859</v>
      </c>
      <c r="X207" s="175">
        <f t="shared" si="335"/>
        <v>277.21691678035478</v>
      </c>
      <c r="Y207" s="386">
        <f t="shared" si="303"/>
        <v>60.162242927374635</v>
      </c>
      <c r="AA207" s="191">
        <f t="shared" si="336"/>
        <v>0.14999999999999997</v>
      </c>
      <c r="AB207" s="153">
        <f t="shared" si="372"/>
        <v>1.1072834645669287</v>
      </c>
      <c r="AC207" s="153">
        <f t="shared" si="373"/>
        <v>2.3021828103683487E-2</v>
      </c>
      <c r="AD207" s="153"/>
      <c r="AE207" s="153">
        <f t="shared" si="339"/>
        <v>1.1072834645669289</v>
      </c>
      <c r="AF207" s="317">
        <f t="shared" si="374"/>
        <v>1168.0237037037039</v>
      </c>
      <c r="AG207" s="463">
        <f t="shared" si="341"/>
        <v>2.3021828103683497E-2</v>
      </c>
      <c r="AI207" s="153">
        <f t="shared" si="342"/>
        <v>0.2740205067056809</v>
      </c>
      <c r="AJ207" s="153">
        <f t="shared" si="375"/>
        <v>0.69117332555652766</v>
      </c>
      <c r="AK207" s="153">
        <f t="shared" si="376"/>
        <v>1.560782217037685</v>
      </c>
      <c r="AM207" s="317">
        <f t="shared" si="345"/>
        <v>97</v>
      </c>
      <c r="AN207" s="147">
        <f t="shared" si="346"/>
        <v>60.162242927374635</v>
      </c>
      <c r="AP207">
        <f t="shared" si="347"/>
        <v>97</v>
      </c>
      <c r="AQ207">
        <f t="shared" si="348"/>
        <v>60.162242927374635</v>
      </c>
      <c r="AS207" s="5">
        <f t="shared" si="364"/>
        <v>16.621720722865312</v>
      </c>
      <c r="AT207" s="5">
        <f t="shared" si="349"/>
        <v>11.519555425942126</v>
      </c>
      <c r="AU207" s="5">
        <f t="shared" si="304"/>
        <v>5.1021652969231859</v>
      </c>
      <c r="AV207" s="5"/>
      <c r="AW207" s="153">
        <f t="shared" si="305"/>
        <v>0.69304229195088674</v>
      </c>
      <c r="AX207" s="153">
        <f t="shared" si="360"/>
        <v>2.1555555555555554</v>
      </c>
      <c r="AY207" s="153">
        <f t="shared" si="361"/>
        <v>0.10608048993875767</v>
      </c>
      <c r="AZ207" s="153">
        <f t="shared" si="365"/>
        <v>20.319999999999997</v>
      </c>
      <c r="BA207" s="147">
        <f t="shared" si="350"/>
        <v>7.5578700647486725</v>
      </c>
      <c r="BB207" s="147">
        <f t="shared" si="351"/>
        <v>53.959970848148139</v>
      </c>
      <c r="BC207" s="5">
        <f t="shared" si="359"/>
        <v>1.2220000834606148</v>
      </c>
      <c r="BD207" s="147">
        <f t="shared" si="352"/>
        <v>122.91852686458</v>
      </c>
      <c r="BF207" s="153">
        <f t="shared" si="366"/>
        <v>0.33220503505395377</v>
      </c>
      <c r="BG207" s="153">
        <f t="shared" si="362"/>
        <v>0.22108822523695063</v>
      </c>
      <c r="BI207" s="463">
        <f t="shared" si="306"/>
        <v>3.8626064860319526E-2</v>
      </c>
      <c r="BJ207" s="463">
        <f t="shared" si="307"/>
        <v>6.0959999999999999E-3</v>
      </c>
      <c r="BK207" s="463">
        <f t="shared" si="308"/>
        <v>7.5202803659218291E-4</v>
      </c>
      <c r="BL207" s="463">
        <f t="shared" si="309"/>
        <v>2.5859609072164959E-3</v>
      </c>
      <c r="BM207">
        <f t="shared" si="310"/>
        <v>2.6099999999999999E-3</v>
      </c>
      <c r="BN207">
        <f t="shared" si="353"/>
        <v>6.0162242927374636E-7</v>
      </c>
      <c r="BO207" s="463">
        <f t="shared" si="377"/>
        <v>5.6286298997208203E-2</v>
      </c>
      <c r="BP207" s="147">
        <f t="shared" si="311"/>
        <v>50.670053804128202</v>
      </c>
      <c r="BQ207" s="463">
        <f t="shared" si="355"/>
        <v>7.4398322550556409E-2</v>
      </c>
      <c r="BT207" s="147">
        <f t="shared" si="312"/>
        <v>74.398322550556415</v>
      </c>
      <c r="BU207" s="463">
        <f t="shared" si="313"/>
        <v>8.8288148252158929E-2</v>
      </c>
      <c r="BV207" s="463">
        <f t="shared" si="314"/>
        <v>3.8908482657385994E-2</v>
      </c>
      <c r="BW207" s="463">
        <f t="shared" si="315"/>
        <v>0</v>
      </c>
      <c r="BX207" s="463"/>
      <c r="BY207" s="463">
        <f t="shared" si="316"/>
        <v>4.3111111111111114E-2</v>
      </c>
      <c r="BZ207" s="147">
        <f t="shared" si="317"/>
        <v>170.30774202065601</v>
      </c>
      <c r="CA207" s="153">
        <f t="shared" si="318"/>
        <v>0.29537611837534061</v>
      </c>
      <c r="CB207" s="5">
        <f t="shared" si="319"/>
        <v>1.94</v>
      </c>
      <c r="CC207" s="153">
        <f t="shared" si="320"/>
        <v>0.86786289969402619</v>
      </c>
      <c r="CD207" s="5">
        <f t="shared" si="321"/>
        <v>86.786289969402617</v>
      </c>
      <c r="CG207" s="59">
        <f t="shared" si="356"/>
        <v>-50</v>
      </c>
      <c r="CH207">
        <f t="shared" si="357"/>
        <v>-50</v>
      </c>
    </row>
    <row r="208" spans="5:86" x14ac:dyDescent="0.25">
      <c r="E208" s="150">
        <v>98</v>
      </c>
      <c r="F208" s="191">
        <f t="shared" si="378"/>
        <v>9.8000000000000004E-2</v>
      </c>
      <c r="G208" s="191"/>
      <c r="H208" s="191">
        <f t="shared" si="367"/>
        <v>1.96</v>
      </c>
      <c r="I208" s="472">
        <f t="shared" si="323"/>
        <v>9</v>
      </c>
      <c r="J208" s="386">
        <f t="shared" si="324"/>
        <v>20.32</v>
      </c>
      <c r="K208" s="386">
        <f t="shared" si="325"/>
        <v>29.32</v>
      </c>
      <c r="L208" s="386"/>
      <c r="M208" s="191">
        <f t="shared" si="326"/>
        <v>0.69304229195088674</v>
      </c>
      <c r="N208" s="152">
        <f t="shared" si="368"/>
        <v>2.1101682401091408</v>
      </c>
      <c r="O208" s="152">
        <f t="shared" si="363"/>
        <v>1.96</v>
      </c>
      <c r="P208" s="191">
        <f t="shared" si="369"/>
        <v>0.10550841200545705</v>
      </c>
      <c r="Q208" s="191">
        <f t="shared" si="329"/>
        <v>20</v>
      </c>
      <c r="R208" s="191"/>
      <c r="S208" s="152">
        <f t="shared" si="330"/>
        <v>22.12322178131857</v>
      </c>
      <c r="T208" s="152">
        <f t="shared" si="370"/>
        <v>20</v>
      </c>
      <c r="U208" s="191">
        <f t="shared" si="332"/>
        <v>0.69829882375814134</v>
      </c>
      <c r="V208" s="191">
        <f t="shared" si="371"/>
        <v>11.638313729302354</v>
      </c>
      <c r="W208" s="191">
        <f t="shared" si="334"/>
        <v>5.1547649391595076</v>
      </c>
      <c r="X208" s="175">
        <f t="shared" si="335"/>
        <v>277.21691678035478</v>
      </c>
      <c r="Y208" s="386">
        <f t="shared" si="303"/>
        <v>59.548342489340207</v>
      </c>
      <c r="AA208" s="191">
        <f t="shared" si="336"/>
        <v>0.14999999999999997</v>
      </c>
      <c r="AB208" s="153">
        <f t="shared" si="372"/>
        <v>1.1072834645669287</v>
      </c>
      <c r="AC208" s="153">
        <f t="shared" si="373"/>
        <v>2.3021828103683487E-2</v>
      </c>
      <c r="AD208" s="153"/>
      <c r="AE208" s="153">
        <f t="shared" si="339"/>
        <v>1.1072834645669289</v>
      </c>
      <c r="AF208" s="317">
        <f t="shared" si="374"/>
        <v>1180.0651851851853</v>
      </c>
      <c r="AG208" s="463">
        <f t="shared" si="341"/>
        <v>2.3021828103683497E-2</v>
      </c>
      <c r="AI208" s="153">
        <f t="shared" si="342"/>
        <v>0.27542936178507432</v>
      </c>
      <c r="AJ208" s="153">
        <f t="shared" si="375"/>
        <v>0.69829882375814134</v>
      </c>
      <c r="AK208" s="153">
        <f t="shared" si="376"/>
        <v>1.5655325491720942</v>
      </c>
      <c r="AM208" s="317">
        <f t="shared" si="345"/>
        <v>98</v>
      </c>
      <c r="AN208" s="147">
        <f t="shared" si="346"/>
        <v>59.548342489340207</v>
      </c>
      <c r="AP208">
        <f t="shared" si="347"/>
        <v>98</v>
      </c>
      <c r="AQ208">
        <f t="shared" si="348"/>
        <v>59.548342489340207</v>
      </c>
      <c r="AS208" s="5">
        <f t="shared" si="364"/>
        <v>16.79307866846186</v>
      </c>
      <c r="AT208" s="5">
        <f t="shared" si="349"/>
        <v>11.638313729302354</v>
      </c>
      <c r="AU208" s="5">
        <f t="shared" si="304"/>
        <v>5.1547649391595058</v>
      </c>
      <c r="AV208" s="5"/>
      <c r="AW208" s="153">
        <f t="shared" si="305"/>
        <v>0.69304229195088685</v>
      </c>
      <c r="AX208" s="153">
        <f t="shared" si="360"/>
        <v>2.177777777777778</v>
      </c>
      <c r="AY208" s="153">
        <f t="shared" si="361"/>
        <v>0.10717410323709534</v>
      </c>
      <c r="AZ208" s="153">
        <f t="shared" si="365"/>
        <v>20.320000000000007</v>
      </c>
      <c r="BA208" s="147">
        <f t="shared" si="350"/>
        <v>7.5578700647486725</v>
      </c>
      <c r="BB208" s="147">
        <f t="shared" si="351"/>
        <v>55.075251570370362</v>
      </c>
      <c r="BC208" s="5">
        <f t="shared" si="359"/>
        <v>1.2473258371299543</v>
      </c>
      <c r="BD208" s="147">
        <f t="shared" si="352"/>
        <v>125.45850963892136</v>
      </c>
      <c r="BF208" s="153">
        <f t="shared" si="366"/>
        <v>0.33562982922976775</v>
      </c>
      <c r="BG208" s="153">
        <f t="shared" si="362"/>
        <v>0.22336748529093978</v>
      </c>
      <c r="BI208" s="463">
        <f t="shared" si="306"/>
        <v>3.9426583794081073E-2</v>
      </c>
      <c r="BJ208" s="463">
        <f t="shared" si="307"/>
        <v>6.0960000000000025E-3</v>
      </c>
      <c r="BK208" s="463">
        <f t="shared" si="308"/>
        <v>7.4435428111675262E-4</v>
      </c>
      <c r="BL208" s="463">
        <f t="shared" si="309"/>
        <v>2.5595735510204093E-3</v>
      </c>
      <c r="BM208">
        <f t="shared" si="310"/>
        <v>2.6099999999999999E-3</v>
      </c>
      <c r="BN208">
        <f t="shared" si="353"/>
        <v>5.9548342489340203E-7</v>
      </c>
      <c r="BO208" s="463">
        <f t="shared" si="377"/>
        <v>5.7175602962209325E-2</v>
      </c>
      <c r="BP208" s="147">
        <f t="shared" si="311"/>
        <v>51.436511626218241</v>
      </c>
      <c r="BQ208" s="463">
        <f t="shared" si="355"/>
        <v>7.555427758269144E-2</v>
      </c>
      <c r="BT208" s="147">
        <f t="shared" si="312"/>
        <v>75.554277582691441</v>
      </c>
      <c r="BU208" s="463">
        <f t="shared" si="313"/>
        <v>9.0117905815042462E-2</v>
      </c>
      <c r="BV208" s="463">
        <f t="shared" si="314"/>
        <v>3.9714854654217764E-2</v>
      </c>
      <c r="BW208" s="463">
        <f t="shared" si="315"/>
        <v>0</v>
      </c>
      <c r="BX208" s="463"/>
      <c r="BY208" s="463">
        <f t="shared" si="316"/>
        <v>4.355555555555557E-2</v>
      </c>
      <c r="BZ208" s="147">
        <f t="shared" si="317"/>
        <v>173.38831602481579</v>
      </c>
      <c r="CA208" s="153">
        <f t="shared" si="318"/>
        <v>0.30037910523372546</v>
      </c>
      <c r="CB208" s="5">
        <f t="shared" si="319"/>
        <v>1.96</v>
      </c>
      <c r="CC208" s="153">
        <f t="shared" si="320"/>
        <v>0.86711118301429102</v>
      </c>
      <c r="CD208" s="5">
        <f t="shared" si="321"/>
        <v>86.711118301429096</v>
      </c>
      <c r="CG208" s="59">
        <f t="shared" si="356"/>
        <v>-50</v>
      </c>
      <c r="CH208">
        <f t="shared" si="357"/>
        <v>-50</v>
      </c>
    </row>
    <row r="209" spans="5:88" x14ac:dyDescent="0.25">
      <c r="E209" s="150">
        <v>99</v>
      </c>
      <c r="F209" s="191">
        <f t="shared" si="378"/>
        <v>9.9000000000000005E-2</v>
      </c>
      <c r="G209" s="191"/>
      <c r="H209" s="191">
        <f t="shared" si="367"/>
        <v>1.98</v>
      </c>
      <c r="I209" s="472">
        <f t="shared" si="323"/>
        <v>9</v>
      </c>
      <c r="J209" s="386">
        <f t="shared" si="324"/>
        <v>20.32</v>
      </c>
      <c r="K209" s="386">
        <f t="shared" si="325"/>
        <v>29.32</v>
      </c>
      <c r="L209" s="386"/>
      <c r="M209" s="191">
        <f t="shared" si="326"/>
        <v>0.69304229195088674</v>
      </c>
      <c r="N209" s="152">
        <f t="shared" si="368"/>
        <v>2.1101682401091408</v>
      </c>
      <c r="O209" s="152">
        <f t="shared" si="363"/>
        <v>1.98</v>
      </c>
      <c r="P209" s="191">
        <f t="shared" si="369"/>
        <v>0.10550841200545705</v>
      </c>
      <c r="Q209" s="191">
        <f t="shared" si="329"/>
        <v>20</v>
      </c>
      <c r="R209" s="191"/>
      <c r="S209" s="152">
        <f t="shared" si="330"/>
        <v>21.811946815508097</v>
      </c>
      <c r="T209" s="152">
        <f t="shared" si="370"/>
        <v>20</v>
      </c>
      <c r="U209" s="191">
        <f t="shared" si="332"/>
        <v>0.70542432195975513</v>
      </c>
      <c r="V209" s="191">
        <f t="shared" si="371"/>
        <v>11.757072032662585</v>
      </c>
      <c r="W209" s="191">
        <f t="shared" si="334"/>
        <v>5.2073645813958294</v>
      </c>
      <c r="X209" s="175">
        <f t="shared" si="335"/>
        <v>277.21691678035478</v>
      </c>
      <c r="Y209" s="386">
        <f t="shared" si="303"/>
        <v>58.946844080356954</v>
      </c>
      <c r="AA209" s="191">
        <f t="shared" si="336"/>
        <v>0.14999999999999997</v>
      </c>
      <c r="AB209" s="153">
        <f t="shared" si="372"/>
        <v>1.1072834645669287</v>
      </c>
      <c r="AC209" s="153">
        <f t="shared" si="373"/>
        <v>2.3021828103683487E-2</v>
      </c>
      <c r="AD209" s="153"/>
      <c r="AE209" s="153">
        <f t="shared" si="339"/>
        <v>1.1072834645669289</v>
      </c>
      <c r="AF209" s="317">
        <f t="shared" si="374"/>
        <v>1192.1066666666668</v>
      </c>
      <c r="AG209" s="463">
        <f t="shared" si="341"/>
        <v>2.3021828103683497E-2</v>
      </c>
      <c r="AI209" s="153">
        <f t="shared" si="342"/>
        <v>0.27683104697889033</v>
      </c>
      <c r="AJ209" s="153">
        <f t="shared" si="375"/>
        <v>0.70542432195975513</v>
      </c>
      <c r="AK209" s="153">
        <f t="shared" si="376"/>
        <v>1.5702828813065035</v>
      </c>
      <c r="AM209" s="317">
        <f t="shared" si="345"/>
        <v>99</v>
      </c>
      <c r="AN209" s="147">
        <f t="shared" si="346"/>
        <v>58.946844080356954</v>
      </c>
      <c r="AP209">
        <f t="shared" si="347"/>
        <v>99</v>
      </c>
      <c r="AQ209">
        <f t="shared" si="348"/>
        <v>58.946844080356954</v>
      </c>
      <c r="AS209" s="5">
        <f t="shared" si="364"/>
        <v>16.964436614058414</v>
      </c>
      <c r="AT209" s="5">
        <f t="shared" si="349"/>
        <v>11.757072032662585</v>
      </c>
      <c r="AU209" s="5">
        <f t="shared" si="304"/>
        <v>5.2073645813958294</v>
      </c>
      <c r="AV209" s="5"/>
      <c r="AW209" s="153">
        <f t="shared" si="305"/>
        <v>0.69304229195088674</v>
      </c>
      <c r="AX209" s="153">
        <f t="shared" si="360"/>
        <v>2.2000000000000002</v>
      </c>
      <c r="AY209" s="153">
        <f t="shared" si="361"/>
        <v>0.1082677165354331</v>
      </c>
      <c r="AZ209" s="153">
        <f t="shared" si="365"/>
        <v>20.319999999999997</v>
      </c>
      <c r="BA209" s="147">
        <f t="shared" si="350"/>
        <v>7.5578700647486725</v>
      </c>
      <c r="BB209" s="147">
        <f t="shared" si="351"/>
        <v>56.201940299999997</v>
      </c>
      <c r="BC209" s="5">
        <f t="shared" si="359"/>
        <v>1.2729113421189804</v>
      </c>
      <c r="BD209" s="147">
        <f t="shared" si="352"/>
        <v>128.02446754523137</v>
      </c>
      <c r="BF209" s="153">
        <f t="shared" si="366"/>
        <v>0.33905462340558173</v>
      </c>
      <c r="BG209" s="153">
        <f t="shared" si="362"/>
        <v>0.22564674534492901</v>
      </c>
      <c r="BI209" s="463">
        <f t="shared" si="306"/>
        <v>4.0235313178445295E-2</v>
      </c>
      <c r="BJ209" s="463">
        <f t="shared" si="307"/>
        <v>6.0960000000000016E-3</v>
      </c>
      <c r="BK209" s="463">
        <f t="shared" si="308"/>
        <v>7.3683555100446192E-4</v>
      </c>
      <c r="BL209" s="463">
        <f t="shared" si="309"/>
        <v>2.5337192727272733E-3</v>
      </c>
      <c r="BM209">
        <f t="shared" si="310"/>
        <v>2.6099999999999999E-3</v>
      </c>
      <c r="BN209">
        <f t="shared" si="353"/>
        <v>5.8946844080356957E-7</v>
      </c>
      <c r="BO209" s="463">
        <f t="shared" si="377"/>
        <v>5.8075342131964254E-2</v>
      </c>
      <c r="BP209" s="147">
        <f t="shared" si="311"/>
        <v>52.211868002177034</v>
      </c>
      <c r="BQ209" s="463">
        <f t="shared" si="355"/>
        <v>7.6718170615156067E-2</v>
      </c>
      <c r="BT209" s="147">
        <f t="shared" si="312"/>
        <v>76.718170615156069</v>
      </c>
      <c r="BU209" s="463">
        <f t="shared" si="313"/>
        <v>9.1966430122160686E-2</v>
      </c>
      <c r="BV209" s="463">
        <f t="shared" si="314"/>
        <v>4.052949713306836E-2</v>
      </c>
      <c r="BW209" s="463">
        <f t="shared" si="315"/>
        <v>0</v>
      </c>
      <c r="BX209" s="463"/>
      <c r="BY209" s="463">
        <f t="shared" si="316"/>
        <v>4.4000000000000011E-2</v>
      </c>
      <c r="BZ209" s="147">
        <f t="shared" si="317"/>
        <v>176.49592725522905</v>
      </c>
      <c r="CA209" s="153">
        <f t="shared" si="318"/>
        <v>0.30542596587256221</v>
      </c>
      <c r="CB209" s="5">
        <f t="shared" si="319"/>
        <v>1.98</v>
      </c>
      <c r="CC209" s="153">
        <f t="shared" si="320"/>
        <v>0.86635928249990257</v>
      </c>
      <c r="CD209" s="5">
        <f t="shared" si="321"/>
        <v>86.635928249990258</v>
      </c>
      <c r="CG209" s="59">
        <f t="shared" si="356"/>
        <v>-50</v>
      </c>
      <c r="CH209">
        <f t="shared" si="357"/>
        <v>-50</v>
      </c>
    </row>
    <row r="210" spans="5:88" x14ac:dyDescent="0.25">
      <c r="E210" s="150">
        <v>100</v>
      </c>
      <c r="F210" s="191">
        <f t="shared" si="378"/>
        <v>0.1</v>
      </c>
      <c r="G210" s="191"/>
      <c r="H210" s="191">
        <f t="shared" si="367"/>
        <v>2</v>
      </c>
      <c r="I210" s="472">
        <f t="shared" si="323"/>
        <v>9</v>
      </c>
      <c r="J210" s="386">
        <f t="shared" si="324"/>
        <v>20.32</v>
      </c>
      <c r="K210" s="386">
        <f t="shared" si="325"/>
        <v>29.32</v>
      </c>
      <c r="L210" s="386"/>
      <c r="M210" s="191">
        <f t="shared" si="326"/>
        <v>0.69304229195088674</v>
      </c>
      <c r="N210" s="152">
        <f t="shared" si="368"/>
        <v>2.1101682401091408</v>
      </c>
      <c r="O210" s="152">
        <f t="shared" si="363"/>
        <v>2</v>
      </c>
      <c r="P210" s="191">
        <f t="shared" si="369"/>
        <v>0.10550841200545705</v>
      </c>
      <c r="Q210" s="191">
        <f t="shared" si="329"/>
        <v>20</v>
      </c>
      <c r="R210" s="191"/>
      <c r="S210" s="152">
        <f t="shared" si="330"/>
        <v>21.506946991993718</v>
      </c>
      <c r="T210" s="152">
        <f t="shared" si="370"/>
        <v>20</v>
      </c>
      <c r="U210" s="191">
        <f t="shared" si="332"/>
        <v>0.71254982016136881</v>
      </c>
      <c r="V210" s="191">
        <f t="shared" si="371"/>
        <v>11.875830336022812</v>
      </c>
      <c r="W210" s="191">
        <f t="shared" si="334"/>
        <v>5.2599642236321511</v>
      </c>
      <c r="X210" s="175">
        <f t="shared" si="335"/>
        <v>277.21691678035478</v>
      </c>
      <c r="Y210" s="386">
        <f t="shared" si="303"/>
        <v>58.357375639553389</v>
      </c>
      <c r="AA210" s="191">
        <f t="shared" si="336"/>
        <v>0.14999999999999997</v>
      </c>
      <c r="AB210" s="153">
        <f t="shared" si="372"/>
        <v>1.1072834645669287</v>
      </c>
      <c r="AC210" s="153">
        <f t="shared" si="373"/>
        <v>2.3021828103683487E-2</v>
      </c>
      <c r="AD210" s="153"/>
      <c r="AE210" s="153">
        <f t="shared" si="339"/>
        <v>1.1072834645669289</v>
      </c>
      <c r="AF210" s="317">
        <f t="shared" si="374"/>
        <v>1204.1481481481483</v>
      </c>
      <c r="AG210" s="463">
        <f t="shared" si="341"/>
        <v>2.3021828103683497E-2</v>
      </c>
      <c r="AI210" s="153">
        <f t="shared" si="342"/>
        <v>0.27822567065158427</v>
      </c>
      <c r="AJ210" s="153">
        <f t="shared" si="375"/>
        <v>0.71254982016136881</v>
      </c>
      <c r="AK210" s="153">
        <f t="shared" si="376"/>
        <v>1.5750332134409124</v>
      </c>
      <c r="AM210" s="317">
        <f t="shared" si="345"/>
        <v>100</v>
      </c>
      <c r="AN210" s="147">
        <f t="shared" si="346"/>
        <v>58.357375639553389</v>
      </c>
      <c r="AP210">
        <f t="shared" si="347"/>
        <v>100</v>
      </c>
      <c r="AQ210">
        <f t="shared" si="348"/>
        <v>58.357375639553389</v>
      </c>
      <c r="AS210" s="5">
        <f t="shared" si="364"/>
        <v>17.135794559654965</v>
      </c>
      <c r="AT210" s="5">
        <f t="shared" si="349"/>
        <v>11.875830336022812</v>
      </c>
      <c r="AU210" s="5">
        <f t="shared" si="304"/>
        <v>5.2599642236321529</v>
      </c>
      <c r="AV210" s="5"/>
      <c r="AW210" s="153">
        <f t="shared" si="305"/>
        <v>0.69304229195088674</v>
      </c>
      <c r="AX210" s="153">
        <f t="shared" si="360"/>
        <v>2.2222222222222228</v>
      </c>
      <c r="AY210" s="153">
        <f t="shared" si="361"/>
        <v>0.10936132983377081</v>
      </c>
      <c r="AZ210" s="153">
        <f t="shared" si="365"/>
        <v>20.32</v>
      </c>
      <c r="BA210" s="147">
        <f t="shared" si="350"/>
        <v>7.5578700647486725</v>
      </c>
      <c r="BB210" s="147">
        <f t="shared" si="351"/>
        <v>57.340037037037035</v>
      </c>
      <c r="BC210" s="5">
        <f t="shared" si="359"/>
        <v>1.2987565984276921</v>
      </c>
      <c r="BD210" s="147">
        <f t="shared" si="352"/>
        <v>130.61640058350994</v>
      </c>
      <c r="BF210" s="153">
        <f t="shared" si="366"/>
        <v>0.34247941758139566</v>
      </c>
      <c r="BG210" s="153">
        <f t="shared" si="362"/>
        <v>0.22792600539891819</v>
      </c>
      <c r="BI210" s="463">
        <f t="shared" si="306"/>
        <v>4.1052253013412192E-2</v>
      </c>
      <c r="BJ210" s="463">
        <f t="shared" si="307"/>
        <v>6.0960000000000016E-3</v>
      </c>
      <c r="BK210" s="463">
        <f t="shared" si="308"/>
        <v>7.2946719549441734E-4</v>
      </c>
      <c r="BL210" s="463">
        <f t="shared" si="309"/>
        <v>2.5083820800000005E-3</v>
      </c>
      <c r="BM210">
        <f t="shared" si="310"/>
        <v>2.6099999999999999E-3</v>
      </c>
      <c r="BN210">
        <f t="shared" si="353"/>
        <v>5.8357375639553389E-7</v>
      </c>
      <c r="BO210" s="463">
        <f t="shared" si="377"/>
        <v>5.8985504528913907E-2</v>
      </c>
      <c r="BP210" s="147">
        <f t="shared" si="311"/>
        <v>52.99610228890662</v>
      </c>
      <c r="BQ210" s="463">
        <f t="shared" si="355"/>
        <v>7.7890001647950291E-2</v>
      </c>
      <c r="BT210" s="147">
        <f t="shared" si="312"/>
        <v>77.890001647950285</v>
      </c>
      <c r="BU210" s="463">
        <f t="shared" si="313"/>
        <v>9.3833721173513587E-2</v>
      </c>
      <c r="BV210" s="463">
        <f t="shared" si="314"/>
        <v>4.1352410093937718E-2</v>
      </c>
      <c r="BW210" s="463">
        <f t="shared" si="315"/>
        <v>0</v>
      </c>
      <c r="BX210" s="463"/>
      <c r="BY210" s="463">
        <f t="shared" si="316"/>
        <v>4.444444444444446E-2</v>
      </c>
      <c r="BZ210" s="147">
        <f t="shared" si="317"/>
        <v>179.63057571189574</v>
      </c>
      <c r="CA210" s="153">
        <f t="shared" si="318"/>
        <v>0.31051667964875262</v>
      </c>
      <c r="CB210" s="5">
        <f t="shared" si="319"/>
        <v>2</v>
      </c>
      <c r="CC210" s="153">
        <f t="shared" si="320"/>
        <v>0.865607254695968</v>
      </c>
      <c r="CD210" s="5">
        <f t="shared" si="321"/>
        <v>86.560725469596804</v>
      </c>
      <c r="CG210" s="59">
        <f t="shared" si="356"/>
        <v>-50</v>
      </c>
      <c r="CH210">
        <f t="shared" si="357"/>
        <v>-50</v>
      </c>
    </row>
    <row r="211" spans="5:88" x14ac:dyDescent="0.25">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5">
      <c r="E212" s="150">
        <v>101</v>
      </c>
      <c r="F212" s="191">
        <f>Ioutmax_Vinmin</f>
        <v>0.10550841200545705</v>
      </c>
      <c r="H212" s="191">
        <f t="shared" ref="H212" si="379">F212*Vout</f>
        <v>2.1101682401091408</v>
      </c>
      <c r="I212" s="472">
        <f t="shared" si="323"/>
        <v>9</v>
      </c>
      <c r="J212" s="386">
        <f t="shared" ref="J212" si="380">(T212+Vfwd1)*Nps</f>
        <v>20.251386186911148</v>
      </c>
      <c r="K212" s="386">
        <f t="shared" ref="K212" si="381">(Vout+Vfwd1)*Nps+I212</f>
        <v>29.32</v>
      </c>
      <c r="L212" s="386"/>
      <c r="M212" s="191">
        <f t="shared" ref="M212" si="382">(Vout+Vfwd1)*Nps/((Vout+Vfwd1)*Nps+I212)</f>
        <v>0.69304229195088674</v>
      </c>
      <c r="N212" s="152">
        <f>M212*I212*(Isw_max+VIN_min/Lmag*ILIM_delay)*0.5*Efficiency</f>
        <v>2.1101682401091408</v>
      </c>
      <c r="O212" s="152">
        <f t="shared" ref="O212" si="383">T212*F212</f>
        <v>2.102928905648497</v>
      </c>
      <c r="P212" s="191">
        <f t="shared" ref="P212" si="384">N212/Vout</f>
        <v>0.10550841200545705</v>
      </c>
      <c r="Q212" s="191">
        <f t="shared" ref="Q212" si="385">MIN(Vout,N212/F212)</f>
        <v>20</v>
      </c>
      <c r="R212" s="191"/>
      <c r="S212" s="152">
        <f t="shared" ref="S212" si="386">(SQRT(Isw_max^2*Nps^2*I212^2+4*Isw_max*F212/Efficiency*(Nps^2*Vfwd1*I212-Nps*I212^2)+4*(F212/Efficiency)^2*Nps^2*Vfwd1^2+8*(F212/Efficiency)^2*Nps*Vfwd1*I212+4*(F212/Efficiency)^2*I212^2)-2*F212/Efficiency*I212-2*F212/Efficiency*Nps*Vfwd1+Isw_max*Nps*I212)/(4*F212/Efficiency*Nps)</f>
        <v>19.931386186911148</v>
      </c>
      <c r="T212" s="152">
        <f t="shared" ref="T212" si="387">MIN(Vout, S212)</f>
        <v>19.931386186911148</v>
      </c>
      <c r="U212" s="191">
        <f>MIN(2*Vout*F212/(Efficiency*I212*M212), Isw_max)</f>
        <v>0.75</v>
      </c>
      <c r="V212" s="191">
        <f t="shared" ref="V212" si="388">L*U212/I212*1000000</f>
        <v>12.499999999999998</v>
      </c>
      <c r="W212" s="191">
        <f t="shared" ref="W212" si="389">L*U212/J212*1000000</f>
        <v>5.5551752833942238</v>
      </c>
      <c r="X212" s="175">
        <f t="shared" ref="X212" si="390">IF(1/((350000*L)*(1/I212+1/J212))&gt;Isw_min, 350, 0.001/((Isw_min*L)*(1/I212+1/J212)))</f>
        <v>276.9289093858103</v>
      </c>
      <c r="Y212" s="386">
        <f t="shared" ref="Y212" si="391">MIN(1/(V212+W212)*1000, 350)</f>
        <v>55.38578187716206</v>
      </c>
      <c r="AA212" s="191">
        <f t="shared" ref="AA212" si="392">1/((X212*1000*L)*(1/I212+1/J212))</f>
        <v>0.15</v>
      </c>
      <c r="AB212" s="153">
        <f t="shared" ref="AB212" si="393">L*AA212/J212*1000000</f>
        <v>1.1110350566788445</v>
      </c>
      <c r="AC212" s="153">
        <f t="shared" ref="AC212" si="394">0.5*AB212*AA212*Nps*X212/1000</f>
        <v>2.3075829490160571E-2</v>
      </c>
      <c r="AD212" s="153"/>
      <c r="AE212" s="153">
        <f t="shared" ref="AE212" si="395">L*Isw_min/J212*1000000</f>
        <v>1.1110350566788445</v>
      </c>
      <c r="AF212" s="317">
        <f>MAX(12000,F212/(0.5*AE212/1000000*Isw_min*Nps))/1000</f>
        <v>1266.1876133275518</v>
      </c>
      <c r="AG212" s="463">
        <f t="shared" ref="AG212" si="396">0.5*AE212/1000000*Isw_min*Nps*X212*1000</f>
        <v>2.3075829490160574E-2</v>
      </c>
      <c r="AI212" s="153">
        <f t="shared" ref="AI212" si="397">SQRT(F212/(0.5*L/J212*Fsw_DCM*Nps))</f>
        <v>0.2853029532663226</v>
      </c>
      <c r="AJ212" s="153">
        <f t="shared" ref="AJ212" si="398">MAX(IF(F212&gt;AC212,U212,AI212),Isw_min)</f>
        <v>0.75</v>
      </c>
      <c r="AK212" s="153">
        <f t="shared" ref="AK212" si="399">IF(F212&gt;AG212, (AJ212-Isw_min)/1.08*0.8+1.2, AF212*0.2/350+1)</f>
        <v>1.6444444444444444</v>
      </c>
      <c r="AM212" s="317">
        <f t="shared" ref="AM212" si="400">F212*1000</f>
        <v>105.50841200545705</v>
      </c>
      <c r="AN212" s="147">
        <f t="shared" ref="AN212" si="401">IF(F212&gt;AG212, Y212, AF212)</f>
        <v>55.38578187716206</v>
      </c>
      <c r="AS212" s="5">
        <f t="shared" ref="AS212" si="402">1/AN212*1000</f>
        <v>18.05517528339422</v>
      </c>
      <c r="AT212" s="5">
        <f t="shared" ref="AT212" si="403">L*AJ212/I212*1000000</f>
        <v>12.499999999999998</v>
      </c>
      <c r="AU212" s="5">
        <f t="shared" si="304"/>
        <v>5.5551752833942221</v>
      </c>
      <c r="AV212" s="5"/>
      <c r="AW212" s="153"/>
      <c r="AX212" s="153"/>
      <c r="BA212" s="147">
        <f>L*Isw_max^2/(2*Vout_ripple*Vout)*1000000000*((1+M212)/2)^2</f>
        <v>7.5578700647486725</v>
      </c>
      <c r="BB212" s="147">
        <f>L*F212^2/(2*Cout*Vout*Nps^2)*1000000000*((1+M212)/(1-M212))^2+F212*RCoutEsr</f>
        <v>63.813637088059906</v>
      </c>
      <c r="BC212" s="5">
        <f t="shared" si="359"/>
        <v>1.4472042532417015</v>
      </c>
      <c r="BD212" s="147">
        <f>((CB212/I212/Efficiency)*AU212/Cin+(CB212/I212/Efficiency)*RCinEsr)*1000</f>
        <v>145.00279687115116</v>
      </c>
      <c r="BQ212" s="463">
        <f>(Vfwd2*F212+BG212^2*Rdiode)*(1+Diode_TC/1000*(Ta-25))</f>
        <v>4.0304213386084593E-2</v>
      </c>
      <c r="CB212" s="5">
        <f t="shared" si="319"/>
        <v>2.102928905648497</v>
      </c>
      <c r="CG212" s="59"/>
    </row>
    <row r="213" spans="5:88" x14ac:dyDescent="0.25">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5">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3">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5">
      <c r="E216" s="150">
        <v>0.1</v>
      </c>
      <c r="F216" s="191">
        <v>1.0000000000000001E-9</v>
      </c>
      <c r="G216" s="191"/>
      <c r="H216" s="191">
        <f t="shared" ref="H216:H247" si="404">F216*Vout</f>
        <v>2E-8</v>
      </c>
      <c r="I216" s="472">
        <f t="shared" ref="I216:I247" si="405">VIN_max</f>
        <v>21</v>
      </c>
      <c r="J216" s="386">
        <f t="shared" ref="J216:J247" si="406">(T216+Vfwd1)*Nps</f>
        <v>20.32</v>
      </c>
      <c r="K216" s="386">
        <f t="shared" ref="K216:K247" si="407">(Vout+Vfwd1)*Nps+I216</f>
        <v>41.32</v>
      </c>
      <c r="L216" s="386"/>
      <c r="M216" s="191">
        <f t="shared" ref="M216:M247" si="408">(Vout+Vfwd1)*Nps/((Vout+Vfwd1)*Nps+I216)</f>
        <v>0.49177153920619554</v>
      </c>
      <c r="N216" s="152">
        <f t="shared" ref="N216:N247" si="409">M216*I216*(Isw_max+VIN_max/Lmag*ILIM_delay)*0.5*Efficiency</f>
        <v>3.5049491965150041</v>
      </c>
      <c r="O216" s="152">
        <f t="shared" si="363"/>
        <v>2E-8</v>
      </c>
      <c r="P216" s="191">
        <f t="shared" ref="P216:P247" si="410">N216/Vout</f>
        <v>0.17524745982575021</v>
      </c>
      <c r="Q216" s="191">
        <f t="shared" ref="Q216:Q247" si="411">MIN(Vout,N216/F216)</f>
        <v>20</v>
      </c>
      <c r="R216" s="191"/>
      <c r="S216" s="152">
        <f t="shared" ref="S216:S247" si="412">(SQRT(Isw_max^2*Nps^2*I216^2+4*Isw_max*F216/Efficiency*(Nps^2*Vfwd1*I216-Nps*I216^2)+4*(F216/Efficiency)^2*Nps^2*Vfwd1^2+8*(F216/Efficiency)^2*Nps*Vfwd1*I216+4*(F216/Efficiency)^2*I216^2)-2*F216/Efficiency*I216-2*F216/Efficiency*Nps*Vfwd1+Isw_max*Nps*I216)/(4*F216/Efficiency*Nps)</f>
        <v>7087499979</v>
      </c>
      <c r="T216" s="152">
        <f t="shared" ref="T216:T247" si="413">MIN(Vout, S216)</f>
        <v>20</v>
      </c>
      <c r="U216" s="191">
        <f t="shared" ref="U216:U247" si="414">MIN(2*Vout*F216/(Efficiency*I216*M216), Isw_max)</f>
        <v>4.3036287130775319E-9</v>
      </c>
      <c r="V216" s="191">
        <f t="shared" ref="V216:V247" si="415">L*U216/I216*1000000</f>
        <v>3.0740205093410944E-8</v>
      </c>
      <c r="W216" s="191">
        <f t="shared" ref="W216:W247" si="416">L*U216/J216*1000000</f>
        <v>3.1768912744174696E-8</v>
      </c>
      <c r="X216" s="175">
        <f t="shared" ref="X216:X247" si="417">IF(1/((350000*L)*(1/I216+1/J216))&gt;Isw_min, 350, 0.001/((Isw_min*L)*(1/I216+1/J216)))</f>
        <v>350</v>
      </c>
      <c r="Y216" s="386">
        <f t="shared" ref="Y216:Y275" si="418">MIN(1/(V216+W216)*1000, 350)</f>
        <v>350</v>
      </c>
      <c r="AA216" s="191">
        <f t="shared" ref="AA216:AA247" si="419">1/((X216*1000*L)*(1/I216+1/J216))</f>
        <v>0.19670861568247827</v>
      </c>
      <c r="AB216" s="153">
        <f t="shared" ref="AB216:AB247" si="420">L*AA216/J216*1000000</f>
        <v>1.4520813165537272</v>
      </c>
      <c r="AC216" s="153">
        <f t="shared" ref="AC216:AC247" si="421">0.5*AB216*AA216*Nps*X216/1000</f>
        <v>4.9986458486592979E-2</v>
      </c>
      <c r="AD216" s="153"/>
      <c r="AE216" s="153">
        <f t="shared" ref="AE216:AE247" si="422">L*Isw_min/J216*1000000</f>
        <v>1.1072834645669289</v>
      </c>
      <c r="AF216" s="317">
        <f t="shared" ref="AF216:AF247" si="423">MAX(12000,F216/(0.5*AE216/1000000*Isw_min*Nps))/1000</f>
        <v>12</v>
      </c>
      <c r="AG216" s="463">
        <f t="shared" ref="AG216:AG247" si="424">0.5*AE216/1000000*Isw_min*Nps*X216*1000</f>
        <v>2.9066190944881887E-2</v>
      </c>
      <c r="AI216" s="153">
        <f t="shared" ref="AI216:AI247" si="425">SQRT(F216/(0.5*L/J216*Fsw_DCM*Nps))</f>
        <v>2.7822567065158423E-5</v>
      </c>
      <c r="AJ216" s="153">
        <f t="shared" ref="AJ216:AJ247" si="426">MAX(IF(F216&gt;AC216,U216,AI216),Isw_min)</f>
        <v>0.15</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1.0714285714285714</v>
      </c>
      <c r="AU216" s="5">
        <f t="shared" si="304"/>
        <v>82.261904761904759</v>
      </c>
      <c r="AV216" s="5"/>
      <c r="AW216" s="153">
        <f t="shared" si="305"/>
        <v>1.2857142857142857E-2</v>
      </c>
      <c r="AX216" s="153"/>
      <c r="BA216" s="147">
        <f t="shared" ref="BA216:BA247" si="433">L*Isw_max^2/(2*Vout_ripple*Vout)*1000000000*((1+M216)/2)^2</f>
        <v>5.8677073027355267</v>
      </c>
      <c r="BB216" s="147">
        <f t="shared" ref="BB216:BB247" si="434">L*F216^2/(2*Cout*Vout*Nps^2)*1000000000*((1+M216)/(1-M216))^2+F216*RCoutEsr</f>
        <v>3.000001615429252E-9</v>
      </c>
      <c r="BC216" s="5">
        <f t="shared" si="359"/>
        <v>8.7049634668682283E-8</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5">
      <c r="E217" s="150">
        <v>1</v>
      </c>
      <c r="F217" s="191">
        <f t="shared" ref="F217:F248" si="439">IF(PLOT_TYPE=1, E217/100*Iout_max, min_I*EXP(N217*rr/100))</f>
        <v>1E-3</v>
      </c>
      <c r="G217" s="191"/>
      <c r="H217" s="191">
        <f t="shared" si="404"/>
        <v>0.02</v>
      </c>
      <c r="I217" s="472">
        <f t="shared" si="405"/>
        <v>21</v>
      </c>
      <c r="J217" s="386">
        <f t="shared" si="406"/>
        <v>20.32</v>
      </c>
      <c r="K217" s="386">
        <f t="shared" si="407"/>
        <v>41.32</v>
      </c>
      <c r="L217" s="386"/>
      <c r="M217" s="191">
        <f t="shared" si="408"/>
        <v>0.49177153920619554</v>
      </c>
      <c r="N217" s="152">
        <f t="shared" si="409"/>
        <v>3.5049491965150041</v>
      </c>
      <c r="O217" s="152">
        <f t="shared" si="363"/>
        <v>0.02</v>
      </c>
      <c r="P217" s="191">
        <f t="shared" si="410"/>
        <v>0.17524745982575021</v>
      </c>
      <c r="Q217" s="191">
        <f t="shared" si="411"/>
        <v>20</v>
      </c>
      <c r="R217" s="191"/>
      <c r="S217" s="152">
        <f t="shared" si="412"/>
        <v>7066.5009509226347</v>
      </c>
      <c r="T217" s="152">
        <f t="shared" si="413"/>
        <v>20</v>
      </c>
      <c r="U217" s="191">
        <f t="shared" si="414"/>
        <v>4.3036287130775314E-3</v>
      </c>
      <c r="V217" s="191">
        <f t="shared" si="415"/>
        <v>3.0740205093410938E-2</v>
      </c>
      <c r="W217" s="191">
        <f t="shared" si="416"/>
        <v>3.1768912744174684E-2</v>
      </c>
      <c r="X217" s="175">
        <f t="shared" si="417"/>
        <v>350</v>
      </c>
      <c r="Y217" s="386">
        <f t="shared" si="418"/>
        <v>350</v>
      </c>
      <c r="AA217" s="191">
        <f t="shared" si="419"/>
        <v>0.19670861568247827</v>
      </c>
      <c r="AB217" s="153">
        <f t="shared" si="420"/>
        <v>1.4520813165537272</v>
      </c>
      <c r="AC217" s="153">
        <f t="shared" si="421"/>
        <v>4.9986458486592979E-2</v>
      </c>
      <c r="AD217" s="153"/>
      <c r="AE217" s="153">
        <f t="shared" si="422"/>
        <v>1.1072834645669289</v>
      </c>
      <c r="AF217" s="317">
        <f t="shared" si="423"/>
        <v>12.041481481481481</v>
      </c>
      <c r="AG217" s="463">
        <f t="shared" si="424"/>
        <v>2.9066190944881887E-2</v>
      </c>
      <c r="AI217" s="153">
        <f t="shared" si="425"/>
        <v>2.7822567065158423E-2</v>
      </c>
      <c r="AJ217" s="153">
        <f t="shared" si="426"/>
        <v>0.15</v>
      </c>
      <c r="AK217" s="153">
        <f t="shared" si="427"/>
        <v>1.0068808465608465</v>
      </c>
      <c r="AM217" s="317">
        <f t="shared" si="428"/>
        <v>1</v>
      </c>
      <c r="AN217" s="147">
        <f t="shared" si="429"/>
        <v>12.041481481481481</v>
      </c>
      <c r="AP217">
        <f t="shared" si="430"/>
        <v>1</v>
      </c>
      <c r="AQ217">
        <f t="shared" si="431"/>
        <v>12.041481481481481</v>
      </c>
      <c r="AS217" s="5">
        <f t="shared" si="364"/>
        <v>83.046259842519689</v>
      </c>
      <c r="AT217" s="5">
        <f t="shared" si="432"/>
        <v>1.0714285714285714</v>
      </c>
      <c r="AU217" s="5">
        <f t="shared" si="304"/>
        <v>81.974831271091119</v>
      </c>
      <c r="AV217" s="5"/>
      <c r="AW217" s="153">
        <f t="shared" si="305"/>
        <v>1.2901587301587301E-2</v>
      </c>
      <c r="AX217" s="153"/>
      <c r="BA217" s="147">
        <f t="shared" si="433"/>
        <v>5.8677073027355267</v>
      </c>
      <c r="BB217" s="147">
        <f t="shared" si="434"/>
        <v>4.6154292517006801E-3</v>
      </c>
      <c r="BC217" s="5">
        <f t="shared" si="359"/>
        <v>8.6745853196921824E-2</v>
      </c>
      <c r="BD217" s="147">
        <f t="shared" si="435"/>
        <v>0</v>
      </c>
      <c r="BQ217" s="463">
        <f t="shared" si="436"/>
        <v>3.8200000000000002E-4</v>
      </c>
      <c r="CG217" s="59">
        <f t="shared" si="437"/>
        <v>-50</v>
      </c>
      <c r="CH217">
        <f t="shared" si="438"/>
        <v>-50</v>
      </c>
    </row>
    <row r="218" spans="5:88" x14ac:dyDescent="0.25">
      <c r="E218" s="150">
        <v>2</v>
      </c>
      <c r="F218" s="191">
        <f t="shared" si="439"/>
        <v>2E-3</v>
      </c>
      <c r="G218" s="191"/>
      <c r="H218" s="191">
        <f t="shared" si="404"/>
        <v>0.04</v>
      </c>
      <c r="I218" s="472">
        <f t="shared" si="405"/>
        <v>21</v>
      </c>
      <c r="J218" s="386">
        <f t="shared" si="406"/>
        <v>20.32</v>
      </c>
      <c r="K218" s="386">
        <f t="shared" si="407"/>
        <v>41.32</v>
      </c>
      <c r="L218" s="386"/>
      <c r="M218" s="191">
        <f t="shared" si="408"/>
        <v>0.49177153920619554</v>
      </c>
      <c r="N218" s="152">
        <f t="shared" si="409"/>
        <v>3.5049491965150041</v>
      </c>
      <c r="O218" s="152">
        <f t="shared" si="363"/>
        <v>0.04</v>
      </c>
      <c r="P218" s="191">
        <f t="shared" si="410"/>
        <v>0.17524745982575021</v>
      </c>
      <c r="Q218" s="191">
        <f t="shared" si="411"/>
        <v>20</v>
      </c>
      <c r="R218" s="191"/>
      <c r="S218" s="152">
        <f t="shared" si="412"/>
        <v>3522.7519074262959</v>
      </c>
      <c r="T218" s="152">
        <f t="shared" si="413"/>
        <v>20</v>
      </c>
      <c r="U218" s="191">
        <f t="shared" si="414"/>
        <v>8.6072574261550627E-3</v>
      </c>
      <c r="V218" s="191">
        <f t="shared" si="415"/>
        <v>6.1480410186821877E-2</v>
      </c>
      <c r="W218" s="191">
        <f t="shared" si="416"/>
        <v>6.3537825488349367E-2</v>
      </c>
      <c r="X218" s="175">
        <f t="shared" si="417"/>
        <v>350</v>
      </c>
      <c r="Y218" s="386">
        <f t="shared" si="418"/>
        <v>350</v>
      </c>
      <c r="AA218" s="191">
        <f t="shared" si="419"/>
        <v>0.19670861568247827</v>
      </c>
      <c r="AB218" s="153">
        <f t="shared" si="420"/>
        <v>1.4520813165537272</v>
      </c>
      <c r="AC218" s="153">
        <f t="shared" si="421"/>
        <v>4.9986458486592979E-2</v>
      </c>
      <c r="AD218" s="153"/>
      <c r="AE218" s="153">
        <f t="shared" si="422"/>
        <v>1.1072834645669289</v>
      </c>
      <c r="AF218" s="317">
        <f t="shared" si="423"/>
        <v>24.082962962962963</v>
      </c>
      <c r="AG218" s="463">
        <f t="shared" si="424"/>
        <v>2.9066190944881887E-2</v>
      </c>
      <c r="AI218" s="153">
        <f t="shared" si="425"/>
        <v>3.9347051683582039E-2</v>
      </c>
      <c r="AJ218" s="153">
        <f t="shared" si="426"/>
        <v>0.15</v>
      </c>
      <c r="AK218" s="153">
        <f t="shared" si="427"/>
        <v>1.0137616931216931</v>
      </c>
      <c r="AM218" s="317">
        <f t="shared" si="428"/>
        <v>2</v>
      </c>
      <c r="AN218" s="147">
        <f t="shared" si="429"/>
        <v>24.082962962962963</v>
      </c>
      <c r="AP218">
        <f t="shared" si="430"/>
        <v>2</v>
      </c>
      <c r="AQ218">
        <f t="shared" si="431"/>
        <v>24.082962962962963</v>
      </c>
      <c r="AS218" s="5">
        <f t="shared" si="364"/>
        <v>41.523129921259844</v>
      </c>
      <c r="AT218" s="5">
        <f t="shared" si="432"/>
        <v>1.0714285714285714</v>
      </c>
      <c r="AU218" s="5">
        <f t="shared" si="304"/>
        <v>40.451701349831275</v>
      </c>
      <c r="AV218" s="5"/>
      <c r="AW218" s="153">
        <f t="shared" si="305"/>
        <v>2.5803174603174602E-2</v>
      </c>
      <c r="AX218" s="153"/>
      <c r="BA218" s="147">
        <f t="shared" si="433"/>
        <v>5.8677073027355267</v>
      </c>
      <c r="BB218" s="147">
        <f t="shared" si="434"/>
        <v>1.2461717006802719E-2</v>
      </c>
      <c r="BC218" s="5">
        <f t="shared" si="359"/>
        <v>8.5612066348849269E-2</v>
      </c>
      <c r="BD218" s="147">
        <f t="shared" si="435"/>
        <v>0</v>
      </c>
      <c r="BQ218" s="463">
        <f t="shared" si="436"/>
        <v>7.6400000000000003E-4</v>
      </c>
      <c r="CG218" s="59">
        <f t="shared" si="437"/>
        <v>-50</v>
      </c>
      <c r="CH218">
        <f t="shared" si="438"/>
        <v>-50</v>
      </c>
    </row>
    <row r="219" spans="5:88" x14ac:dyDescent="0.25">
      <c r="E219" s="150">
        <v>3</v>
      </c>
      <c r="F219" s="191">
        <f t="shared" si="439"/>
        <v>3.0000000000000001E-3</v>
      </c>
      <c r="G219" s="191"/>
      <c r="H219" s="191">
        <f t="shared" si="404"/>
        <v>0.06</v>
      </c>
      <c r="I219" s="472">
        <f t="shared" si="405"/>
        <v>21</v>
      </c>
      <c r="J219" s="386">
        <f t="shared" si="406"/>
        <v>20.32</v>
      </c>
      <c r="K219" s="386">
        <f t="shared" si="407"/>
        <v>41.32</v>
      </c>
      <c r="L219" s="386"/>
      <c r="M219" s="191">
        <f t="shared" si="408"/>
        <v>0.49177153920619554</v>
      </c>
      <c r="N219" s="152">
        <f t="shared" si="409"/>
        <v>3.5049491965150041</v>
      </c>
      <c r="O219" s="152">
        <f t="shared" si="363"/>
        <v>0.06</v>
      </c>
      <c r="P219" s="191">
        <f t="shared" si="410"/>
        <v>0.17524745982575021</v>
      </c>
      <c r="Q219" s="191">
        <f t="shared" si="411"/>
        <v>20</v>
      </c>
      <c r="R219" s="191"/>
      <c r="S219" s="152">
        <f t="shared" si="412"/>
        <v>2341.5028695594733</v>
      </c>
      <c r="T219" s="152">
        <f t="shared" si="413"/>
        <v>20</v>
      </c>
      <c r="U219" s="191">
        <f t="shared" si="414"/>
        <v>1.2910886139232594E-2</v>
      </c>
      <c r="V219" s="191">
        <f t="shared" si="415"/>
        <v>9.2220615280232801E-2</v>
      </c>
      <c r="W219" s="191">
        <f t="shared" si="416"/>
        <v>9.5306738232524058E-2</v>
      </c>
      <c r="X219" s="175">
        <f t="shared" si="417"/>
        <v>350</v>
      </c>
      <c r="Y219" s="386">
        <f t="shared" si="418"/>
        <v>350</v>
      </c>
      <c r="AA219" s="191">
        <f t="shared" si="419"/>
        <v>0.19670861568247827</v>
      </c>
      <c r="AB219" s="153">
        <f t="shared" si="420"/>
        <v>1.4520813165537272</v>
      </c>
      <c r="AC219" s="153">
        <f t="shared" si="421"/>
        <v>4.9986458486592979E-2</v>
      </c>
      <c r="AD219" s="153"/>
      <c r="AE219" s="153">
        <f t="shared" si="422"/>
        <v>1.1072834645669289</v>
      </c>
      <c r="AF219" s="317">
        <f t="shared" si="423"/>
        <v>36.124444444444443</v>
      </c>
      <c r="AG219" s="463">
        <f t="shared" si="424"/>
        <v>2.9066190944881887E-2</v>
      </c>
      <c r="AI219" s="153">
        <f t="shared" si="425"/>
        <v>4.8190099753846895E-2</v>
      </c>
      <c r="AJ219" s="153">
        <f t="shared" si="426"/>
        <v>0.15</v>
      </c>
      <c r="AK219" s="153">
        <f t="shared" si="427"/>
        <v>1.0206425396825396</v>
      </c>
      <c r="AM219" s="317">
        <f t="shared" si="428"/>
        <v>3</v>
      </c>
      <c r="AN219" s="147">
        <f t="shared" si="429"/>
        <v>36.124444444444443</v>
      </c>
      <c r="AP219">
        <f t="shared" si="430"/>
        <v>3</v>
      </c>
      <c r="AQ219">
        <f t="shared" si="431"/>
        <v>36.124444444444443</v>
      </c>
      <c r="AS219" s="5">
        <f t="shared" si="364"/>
        <v>27.68208661417323</v>
      </c>
      <c r="AT219" s="5">
        <f t="shared" si="432"/>
        <v>1.0714285714285714</v>
      </c>
      <c r="AU219" s="5">
        <f t="shared" si="304"/>
        <v>26.610658042744657</v>
      </c>
      <c r="AV219" s="5"/>
      <c r="AW219" s="153">
        <f t="shared" si="305"/>
        <v>3.8704761904761902E-2</v>
      </c>
      <c r="AX219" s="153"/>
      <c r="BA219" s="147">
        <f t="shared" si="433"/>
        <v>5.8677073027355267</v>
      </c>
      <c r="BB219" s="147">
        <f t="shared" si="434"/>
        <v>2.3538863265306121E-2</v>
      </c>
      <c r="BC219" s="5">
        <f t="shared" si="359"/>
        <v>8.4478279500776687E-2</v>
      </c>
      <c r="BD219" s="147">
        <f t="shared" si="435"/>
        <v>0</v>
      </c>
      <c r="BQ219" s="463">
        <f t="shared" si="436"/>
        <v>1.1460000000000001E-3</v>
      </c>
      <c r="CG219" s="59">
        <f t="shared" si="437"/>
        <v>-50</v>
      </c>
      <c r="CH219">
        <f t="shared" si="438"/>
        <v>-50</v>
      </c>
    </row>
    <row r="220" spans="5:88" x14ac:dyDescent="0.25">
      <c r="E220" s="150">
        <v>4</v>
      </c>
      <c r="F220" s="191">
        <f t="shared" si="439"/>
        <v>4.0000000000000001E-3</v>
      </c>
      <c r="G220" s="191"/>
      <c r="H220" s="191">
        <f t="shared" si="404"/>
        <v>0.08</v>
      </c>
      <c r="I220" s="472">
        <f t="shared" si="405"/>
        <v>21</v>
      </c>
      <c r="J220" s="386">
        <f t="shared" si="406"/>
        <v>20.32</v>
      </c>
      <c r="K220" s="386">
        <f t="shared" si="407"/>
        <v>41.32</v>
      </c>
      <c r="L220" s="386"/>
      <c r="M220" s="191">
        <f t="shared" si="408"/>
        <v>0.49177153920619554</v>
      </c>
      <c r="N220" s="152">
        <f t="shared" si="409"/>
        <v>3.5049491965150041</v>
      </c>
      <c r="O220" s="152">
        <f t="shared" si="363"/>
        <v>0.08</v>
      </c>
      <c r="P220" s="191">
        <f t="shared" si="410"/>
        <v>0.17524745982575021</v>
      </c>
      <c r="Q220" s="191">
        <f t="shared" si="411"/>
        <v>20</v>
      </c>
      <c r="R220" s="191"/>
      <c r="S220" s="152">
        <f t="shared" si="412"/>
        <v>1750.8788373712091</v>
      </c>
      <c r="T220" s="152">
        <f t="shared" si="413"/>
        <v>20</v>
      </c>
      <c r="U220" s="191">
        <f t="shared" si="414"/>
        <v>1.7214514852310125E-2</v>
      </c>
      <c r="V220" s="191">
        <f t="shared" si="415"/>
        <v>0.12296082037364375</v>
      </c>
      <c r="W220" s="191">
        <f t="shared" si="416"/>
        <v>0.12707565097669873</v>
      </c>
      <c r="X220" s="175">
        <f t="shared" si="417"/>
        <v>350</v>
      </c>
      <c r="Y220" s="386">
        <f t="shared" si="418"/>
        <v>350</v>
      </c>
      <c r="AA220" s="191">
        <f t="shared" si="419"/>
        <v>0.19670861568247827</v>
      </c>
      <c r="AB220" s="153">
        <f t="shared" si="420"/>
        <v>1.4520813165537272</v>
      </c>
      <c r="AC220" s="153">
        <f t="shared" si="421"/>
        <v>4.9986458486592979E-2</v>
      </c>
      <c r="AD220" s="153"/>
      <c r="AE220" s="153">
        <f t="shared" si="422"/>
        <v>1.1072834645669289</v>
      </c>
      <c r="AF220" s="317">
        <f t="shared" si="423"/>
        <v>48.165925925925926</v>
      </c>
      <c r="AG220" s="463">
        <f t="shared" si="424"/>
        <v>2.9066190944881887E-2</v>
      </c>
      <c r="AI220" s="153">
        <f t="shared" si="425"/>
        <v>5.5645134130316846E-2</v>
      </c>
      <c r="AJ220" s="153">
        <f t="shared" si="426"/>
        <v>0.15</v>
      </c>
      <c r="AK220" s="153">
        <f t="shared" si="427"/>
        <v>1.0275233862433863</v>
      </c>
      <c r="AM220" s="317">
        <f t="shared" si="428"/>
        <v>4</v>
      </c>
      <c r="AN220" s="147">
        <f t="shared" si="429"/>
        <v>48.165925925925926</v>
      </c>
      <c r="AP220">
        <f t="shared" si="430"/>
        <v>4</v>
      </c>
      <c r="AQ220">
        <f t="shared" si="431"/>
        <v>48.165925925925926</v>
      </c>
      <c r="AS220" s="5">
        <f t="shared" si="364"/>
        <v>20.761564960629922</v>
      </c>
      <c r="AT220" s="5">
        <f t="shared" si="432"/>
        <v>1.0714285714285714</v>
      </c>
      <c r="AU220" s="5">
        <f t="shared" si="304"/>
        <v>19.690136389201349</v>
      </c>
      <c r="AV220" s="5"/>
      <c r="AW220" s="153">
        <f t="shared" si="305"/>
        <v>5.1606349206349204E-2</v>
      </c>
      <c r="AX220" s="153"/>
      <c r="BA220" s="147">
        <f t="shared" si="433"/>
        <v>5.8677073027355267</v>
      </c>
      <c r="BB220" s="147">
        <f t="shared" si="434"/>
        <v>3.7846868027210878E-2</v>
      </c>
      <c r="BC220" s="5">
        <f t="shared" si="359"/>
        <v>8.3344492652704133E-2</v>
      </c>
      <c r="BD220" s="147">
        <f t="shared" si="435"/>
        <v>0</v>
      </c>
      <c r="BQ220" s="463">
        <f t="shared" si="436"/>
        <v>1.5280000000000001E-3</v>
      </c>
      <c r="CG220" s="59">
        <f t="shared" si="437"/>
        <v>-50</v>
      </c>
      <c r="CH220">
        <f t="shared" si="438"/>
        <v>-50</v>
      </c>
    </row>
    <row r="221" spans="5:88" x14ac:dyDescent="0.25">
      <c r="E221" s="150">
        <v>5</v>
      </c>
      <c r="F221" s="191">
        <f t="shared" si="439"/>
        <v>5.000000000000001E-3</v>
      </c>
      <c r="G221" s="191"/>
      <c r="H221" s="191">
        <f t="shared" si="404"/>
        <v>0.10000000000000002</v>
      </c>
      <c r="I221" s="472">
        <f t="shared" si="405"/>
        <v>21</v>
      </c>
      <c r="J221" s="386">
        <f t="shared" si="406"/>
        <v>20.32</v>
      </c>
      <c r="K221" s="386">
        <f t="shared" si="407"/>
        <v>41.32</v>
      </c>
      <c r="L221" s="386"/>
      <c r="M221" s="191">
        <f t="shared" si="408"/>
        <v>0.49177153920619554</v>
      </c>
      <c r="N221" s="152">
        <f t="shared" si="409"/>
        <v>3.5049491965150041</v>
      </c>
      <c r="O221" s="152">
        <f t="shared" si="363"/>
        <v>0.10000000000000002</v>
      </c>
      <c r="P221" s="191">
        <f t="shared" si="410"/>
        <v>0.17524745982575021</v>
      </c>
      <c r="Q221" s="191">
        <f t="shared" si="411"/>
        <v>20</v>
      </c>
      <c r="R221" s="191"/>
      <c r="S221" s="152">
        <f t="shared" si="412"/>
        <v>1396.5048109111085</v>
      </c>
      <c r="T221" s="152">
        <f t="shared" si="413"/>
        <v>20</v>
      </c>
      <c r="U221" s="191">
        <f t="shared" si="414"/>
        <v>2.1518143565387664E-2</v>
      </c>
      <c r="V221" s="191">
        <f t="shared" si="415"/>
        <v>0.15370102546705472</v>
      </c>
      <c r="W221" s="191">
        <f t="shared" si="416"/>
        <v>0.15884456372087349</v>
      </c>
      <c r="X221" s="175">
        <f t="shared" si="417"/>
        <v>350</v>
      </c>
      <c r="Y221" s="386">
        <f t="shared" si="418"/>
        <v>350</v>
      </c>
      <c r="AA221" s="191">
        <f t="shared" si="419"/>
        <v>0.19670861568247827</v>
      </c>
      <c r="AB221" s="153">
        <f t="shared" si="420"/>
        <v>1.4520813165537272</v>
      </c>
      <c r="AC221" s="153">
        <f t="shared" si="421"/>
        <v>4.9986458486592979E-2</v>
      </c>
      <c r="AD221" s="153"/>
      <c r="AE221" s="153">
        <f t="shared" si="422"/>
        <v>1.1072834645669289</v>
      </c>
      <c r="AF221" s="317">
        <f t="shared" si="423"/>
        <v>60.207407407407423</v>
      </c>
      <c r="AG221" s="463">
        <f t="shared" si="424"/>
        <v>2.9066190944881887E-2</v>
      </c>
      <c r="AI221" s="153">
        <f t="shared" si="425"/>
        <v>6.2213151266241065E-2</v>
      </c>
      <c r="AJ221" s="153">
        <f t="shared" si="426"/>
        <v>0.15</v>
      </c>
      <c r="AK221" s="153">
        <f t="shared" si="427"/>
        <v>1.0344042328042329</v>
      </c>
      <c r="AM221" s="317">
        <f t="shared" si="428"/>
        <v>5.0000000000000009</v>
      </c>
      <c r="AN221" s="147">
        <f t="shared" si="429"/>
        <v>60.207407407407423</v>
      </c>
      <c r="AP221">
        <f t="shared" si="430"/>
        <v>5.0000000000000009</v>
      </c>
      <c r="AQ221">
        <f t="shared" si="431"/>
        <v>60.207407407407423</v>
      </c>
      <c r="AS221" s="5">
        <f t="shared" si="364"/>
        <v>16.609251968503933</v>
      </c>
      <c r="AT221" s="5">
        <f t="shared" si="432"/>
        <v>1.0714285714285714</v>
      </c>
      <c r="AU221" s="5">
        <f t="shared" si="304"/>
        <v>15.537823397075362</v>
      </c>
      <c r="AV221" s="5"/>
      <c r="AW221" s="153">
        <f t="shared" si="305"/>
        <v>6.4507936507936514E-2</v>
      </c>
      <c r="AX221" s="153"/>
      <c r="BA221" s="147">
        <f t="shared" si="433"/>
        <v>5.8677073027355267</v>
      </c>
      <c r="BB221" s="147">
        <f t="shared" si="434"/>
        <v>5.5385731292517018E-2</v>
      </c>
      <c r="BC221" s="5">
        <f t="shared" si="359"/>
        <v>8.2210705804631565E-2</v>
      </c>
      <c r="BD221" s="147">
        <f t="shared" si="435"/>
        <v>0</v>
      </c>
      <c r="BQ221" s="463">
        <f t="shared" si="436"/>
        <v>1.9100000000000005E-3</v>
      </c>
      <c r="CG221" s="59">
        <f t="shared" si="437"/>
        <v>-50</v>
      </c>
      <c r="CH221">
        <f t="shared" si="438"/>
        <v>-50</v>
      </c>
    </row>
    <row r="222" spans="5:88" x14ac:dyDescent="0.25">
      <c r="E222" s="150">
        <v>6</v>
      </c>
      <c r="F222" s="191">
        <f t="shared" si="439"/>
        <v>6.0000000000000001E-3</v>
      </c>
      <c r="G222" s="191"/>
      <c r="H222" s="191">
        <f t="shared" si="404"/>
        <v>0.12</v>
      </c>
      <c r="I222" s="472">
        <f t="shared" si="405"/>
        <v>21</v>
      </c>
      <c r="J222" s="386">
        <f t="shared" si="406"/>
        <v>20.32</v>
      </c>
      <c r="K222" s="386">
        <f t="shared" si="407"/>
        <v>41.32</v>
      </c>
      <c r="L222" s="386"/>
      <c r="M222" s="191">
        <f t="shared" si="408"/>
        <v>0.49177153920619554</v>
      </c>
      <c r="N222" s="152">
        <f t="shared" si="409"/>
        <v>3.5049491965150041</v>
      </c>
      <c r="O222" s="152">
        <f t="shared" si="363"/>
        <v>0.12</v>
      </c>
      <c r="P222" s="191">
        <f t="shared" si="410"/>
        <v>0.17524745982575021</v>
      </c>
      <c r="Q222" s="191">
        <f t="shared" si="411"/>
        <v>20</v>
      </c>
      <c r="R222" s="191"/>
      <c r="S222" s="152">
        <f t="shared" si="412"/>
        <v>1160.2557902293472</v>
      </c>
      <c r="T222" s="152">
        <f t="shared" si="413"/>
        <v>20</v>
      </c>
      <c r="U222" s="191">
        <f t="shared" si="414"/>
        <v>2.5821772278465188E-2</v>
      </c>
      <c r="V222" s="191">
        <f t="shared" si="415"/>
        <v>0.1844412305604656</v>
      </c>
      <c r="W222" s="191">
        <f t="shared" si="416"/>
        <v>0.19061347646504812</v>
      </c>
      <c r="X222" s="175">
        <f t="shared" si="417"/>
        <v>350</v>
      </c>
      <c r="Y222" s="386">
        <f t="shared" si="418"/>
        <v>350</v>
      </c>
      <c r="AA222" s="191">
        <f t="shared" si="419"/>
        <v>0.19670861568247827</v>
      </c>
      <c r="AB222" s="153">
        <f t="shared" si="420"/>
        <v>1.4520813165537272</v>
      </c>
      <c r="AC222" s="153">
        <f t="shared" si="421"/>
        <v>4.9986458486592979E-2</v>
      </c>
      <c r="AD222" s="153"/>
      <c r="AE222" s="153">
        <f t="shared" si="422"/>
        <v>1.1072834645669289</v>
      </c>
      <c r="AF222" s="317">
        <f t="shared" si="423"/>
        <v>72.248888888888885</v>
      </c>
      <c r="AG222" s="463">
        <f t="shared" si="424"/>
        <v>2.9066190944881887E-2</v>
      </c>
      <c r="AI222" s="153">
        <f t="shared" si="425"/>
        <v>6.8151092644002625E-2</v>
      </c>
      <c r="AJ222" s="153">
        <f t="shared" si="426"/>
        <v>0.15</v>
      </c>
      <c r="AK222" s="153">
        <f t="shared" si="427"/>
        <v>1.0412850793650794</v>
      </c>
      <c r="AM222" s="317">
        <f t="shared" si="428"/>
        <v>6</v>
      </c>
      <c r="AN222" s="147">
        <f t="shared" si="429"/>
        <v>72.248888888888885</v>
      </c>
      <c r="AP222">
        <f t="shared" si="430"/>
        <v>6</v>
      </c>
      <c r="AQ222">
        <f t="shared" si="431"/>
        <v>72.248888888888885</v>
      </c>
      <c r="AS222" s="5">
        <f t="shared" si="364"/>
        <v>13.841043307086615</v>
      </c>
      <c r="AT222" s="5">
        <f t="shared" si="432"/>
        <v>1.0714285714285714</v>
      </c>
      <c r="AU222" s="5">
        <f t="shared" si="304"/>
        <v>12.769614735658044</v>
      </c>
      <c r="AV222" s="5"/>
      <c r="AW222" s="153">
        <f t="shared" si="305"/>
        <v>7.7409523809523803E-2</v>
      </c>
      <c r="AX222" s="153"/>
      <c r="BA222" s="147">
        <f t="shared" si="433"/>
        <v>5.8677073027355267</v>
      </c>
      <c r="BB222" s="147">
        <f t="shared" si="434"/>
        <v>7.6155453061224482E-2</v>
      </c>
      <c r="BC222" s="5">
        <f t="shared" si="359"/>
        <v>8.107691895655901E-2</v>
      </c>
      <c r="BD222" s="147">
        <f t="shared" si="435"/>
        <v>0</v>
      </c>
      <c r="BQ222" s="463">
        <f t="shared" si="436"/>
        <v>2.2920000000000002E-3</v>
      </c>
      <c r="CG222" s="59">
        <f t="shared" si="437"/>
        <v>-50</v>
      </c>
      <c r="CH222">
        <f t="shared" si="438"/>
        <v>-50</v>
      </c>
    </row>
    <row r="223" spans="5:88" x14ac:dyDescent="0.25">
      <c r="E223" s="150">
        <v>7</v>
      </c>
      <c r="F223" s="191">
        <f t="shared" si="439"/>
        <v>7.000000000000001E-3</v>
      </c>
      <c r="G223" s="191"/>
      <c r="H223" s="191">
        <f t="shared" si="404"/>
        <v>0.14000000000000001</v>
      </c>
      <c r="I223" s="472">
        <f t="shared" si="405"/>
        <v>21</v>
      </c>
      <c r="J223" s="386">
        <f t="shared" si="406"/>
        <v>20.32</v>
      </c>
      <c r="K223" s="386">
        <f t="shared" si="407"/>
        <v>41.32</v>
      </c>
      <c r="L223" s="386"/>
      <c r="M223" s="191">
        <f t="shared" si="408"/>
        <v>0.49177153920619554</v>
      </c>
      <c r="N223" s="152">
        <f t="shared" si="409"/>
        <v>3.5049491965150041</v>
      </c>
      <c r="O223" s="152">
        <f t="shared" si="363"/>
        <v>0.14000000000000001</v>
      </c>
      <c r="P223" s="191">
        <f t="shared" si="410"/>
        <v>0.17524745982575021</v>
      </c>
      <c r="Q223" s="191">
        <f t="shared" si="411"/>
        <v>20</v>
      </c>
      <c r="R223" s="191"/>
      <c r="S223" s="152">
        <f t="shared" si="412"/>
        <v>991.50677537667536</v>
      </c>
      <c r="T223" s="152">
        <f t="shared" si="413"/>
        <v>20</v>
      </c>
      <c r="U223" s="191">
        <f t="shared" si="414"/>
        <v>3.0125400991542723E-2</v>
      </c>
      <c r="V223" s="191">
        <f t="shared" si="415"/>
        <v>0.21518143565387654</v>
      </c>
      <c r="W223" s="191">
        <f t="shared" si="416"/>
        <v>0.22238238920922282</v>
      </c>
      <c r="X223" s="175">
        <f t="shared" si="417"/>
        <v>350</v>
      </c>
      <c r="Y223" s="386">
        <f t="shared" si="418"/>
        <v>350</v>
      </c>
      <c r="AA223" s="191">
        <f t="shared" si="419"/>
        <v>0.19670861568247827</v>
      </c>
      <c r="AB223" s="153">
        <f t="shared" si="420"/>
        <v>1.4520813165537272</v>
      </c>
      <c r="AC223" s="153">
        <f t="shared" si="421"/>
        <v>4.9986458486592979E-2</v>
      </c>
      <c r="AD223" s="153"/>
      <c r="AE223" s="153">
        <f t="shared" si="422"/>
        <v>1.1072834645669289</v>
      </c>
      <c r="AF223" s="317">
        <f t="shared" si="423"/>
        <v>84.290370370370397</v>
      </c>
      <c r="AG223" s="463">
        <f t="shared" si="424"/>
        <v>2.9066190944881887E-2</v>
      </c>
      <c r="AI223" s="153">
        <f t="shared" si="425"/>
        <v>7.3611593289825403E-2</v>
      </c>
      <c r="AJ223" s="153">
        <f t="shared" si="426"/>
        <v>0.15</v>
      </c>
      <c r="AK223" s="153">
        <f t="shared" si="427"/>
        <v>1.0481659259259259</v>
      </c>
      <c r="AM223" s="317">
        <f t="shared" si="428"/>
        <v>7.0000000000000009</v>
      </c>
      <c r="AN223" s="147">
        <f t="shared" si="429"/>
        <v>84.290370370370397</v>
      </c>
      <c r="AP223">
        <f t="shared" si="430"/>
        <v>7.0000000000000009</v>
      </c>
      <c r="AQ223">
        <f t="shared" si="431"/>
        <v>84.290370370370397</v>
      </c>
      <c r="AS223" s="5">
        <f t="shared" si="364"/>
        <v>11.863751406074238</v>
      </c>
      <c r="AT223" s="5">
        <f t="shared" si="432"/>
        <v>1.0714285714285714</v>
      </c>
      <c r="AU223" s="5">
        <f t="shared" si="304"/>
        <v>10.792322834645667</v>
      </c>
      <c r="AV223" s="5"/>
      <c r="AW223" s="153">
        <f t="shared" si="305"/>
        <v>9.0311111111111134E-2</v>
      </c>
      <c r="AX223" s="153"/>
      <c r="BA223" s="147">
        <f t="shared" si="433"/>
        <v>5.8677073027355267</v>
      </c>
      <c r="BB223" s="147">
        <f t="shared" si="434"/>
        <v>0.10015603333333337</v>
      </c>
      <c r="BC223" s="5">
        <f t="shared" si="359"/>
        <v>7.9943132108486428E-2</v>
      </c>
      <c r="BD223" s="147">
        <f t="shared" si="435"/>
        <v>0</v>
      </c>
      <c r="BQ223" s="463">
        <f t="shared" si="436"/>
        <v>2.6740000000000002E-3</v>
      </c>
      <c r="CG223" s="59">
        <f t="shared" si="437"/>
        <v>-50</v>
      </c>
      <c r="CH223">
        <f t="shared" si="438"/>
        <v>-50</v>
      </c>
    </row>
    <row r="224" spans="5:88" x14ac:dyDescent="0.25">
      <c r="E224" s="150">
        <v>8</v>
      </c>
      <c r="F224" s="191">
        <f t="shared" si="439"/>
        <v>8.0000000000000002E-3</v>
      </c>
      <c r="G224" s="191"/>
      <c r="H224" s="191">
        <f t="shared" si="404"/>
        <v>0.16</v>
      </c>
      <c r="I224" s="472">
        <f t="shared" si="405"/>
        <v>21</v>
      </c>
      <c r="J224" s="386">
        <f t="shared" si="406"/>
        <v>20.32</v>
      </c>
      <c r="K224" s="386">
        <f t="shared" si="407"/>
        <v>41.32</v>
      </c>
      <c r="L224" s="386"/>
      <c r="M224" s="191">
        <f t="shared" si="408"/>
        <v>0.49177153920619554</v>
      </c>
      <c r="N224" s="152">
        <f t="shared" si="409"/>
        <v>3.5049491965150041</v>
      </c>
      <c r="O224" s="152">
        <f t="shared" si="363"/>
        <v>0.16</v>
      </c>
      <c r="P224" s="191">
        <f t="shared" si="410"/>
        <v>0.17524745982575021</v>
      </c>
      <c r="Q224" s="191">
        <f t="shared" si="411"/>
        <v>20</v>
      </c>
      <c r="R224" s="191"/>
      <c r="S224" s="152">
        <f t="shared" si="412"/>
        <v>864.94526640443223</v>
      </c>
      <c r="T224" s="152">
        <f t="shared" si="413"/>
        <v>20</v>
      </c>
      <c r="U224" s="191">
        <f t="shared" si="414"/>
        <v>3.4429029704620251E-2</v>
      </c>
      <c r="V224" s="191">
        <f t="shared" si="415"/>
        <v>0.24592164074728751</v>
      </c>
      <c r="W224" s="191">
        <f t="shared" si="416"/>
        <v>0.25415130195339747</v>
      </c>
      <c r="X224" s="175">
        <f t="shared" si="417"/>
        <v>350</v>
      </c>
      <c r="Y224" s="386">
        <f t="shared" si="418"/>
        <v>350</v>
      </c>
      <c r="AA224" s="191">
        <f t="shared" si="419"/>
        <v>0.19670861568247827</v>
      </c>
      <c r="AB224" s="153">
        <f t="shared" si="420"/>
        <v>1.4520813165537272</v>
      </c>
      <c r="AC224" s="153">
        <f t="shared" si="421"/>
        <v>4.9986458486592979E-2</v>
      </c>
      <c r="AD224" s="153"/>
      <c r="AE224" s="153">
        <f t="shared" si="422"/>
        <v>1.1072834645669289</v>
      </c>
      <c r="AF224" s="317">
        <f t="shared" si="423"/>
        <v>96.331851851851852</v>
      </c>
      <c r="AG224" s="463">
        <f t="shared" si="424"/>
        <v>2.9066190944881887E-2</v>
      </c>
      <c r="AI224" s="153">
        <f t="shared" si="425"/>
        <v>7.8694103367164078E-2</v>
      </c>
      <c r="AJ224" s="153">
        <f t="shared" si="426"/>
        <v>0.15</v>
      </c>
      <c r="AK224" s="153">
        <f t="shared" si="427"/>
        <v>1.0550467724867725</v>
      </c>
      <c r="AM224" s="317">
        <f t="shared" si="428"/>
        <v>8</v>
      </c>
      <c r="AN224" s="147">
        <f t="shared" si="429"/>
        <v>96.331851851851852</v>
      </c>
      <c r="AP224">
        <f t="shared" si="430"/>
        <v>8</v>
      </c>
      <c r="AQ224">
        <f t="shared" si="431"/>
        <v>96.331851851851852</v>
      </c>
      <c r="AS224" s="5">
        <f t="shared" si="364"/>
        <v>10.380782480314961</v>
      </c>
      <c r="AT224" s="5">
        <f t="shared" si="432"/>
        <v>1.0714285714285714</v>
      </c>
      <c r="AU224" s="5">
        <f t="shared" si="304"/>
        <v>9.3093539088863899</v>
      </c>
      <c r="AV224" s="5"/>
      <c r="AW224" s="153">
        <f t="shared" si="305"/>
        <v>0.10321269841269841</v>
      </c>
      <c r="AX224" s="153"/>
      <c r="BA224" s="147">
        <f t="shared" si="433"/>
        <v>5.8677073027355267</v>
      </c>
      <c r="BB224" s="147">
        <f t="shared" si="434"/>
        <v>0.12738747210884352</v>
      </c>
      <c r="BC224" s="5">
        <f t="shared" si="359"/>
        <v>7.8809345260413888E-2</v>
      </c>
      <c r="BD224" s="147">
        <f t="shared" si="435"/>
        <v>0</v>
      </c>
      <c r="BQ224" s="463">
        <f t="shared" si="436"/>
        <v>3.0560000000000001E-3</v>
      </c>
      <c r="CG224" s="59">
        <f t="shared" si="437"/>
        <v>-50</v>
      </c>
      <c r="CH224">
        <f t="shared" si="438"/>
        <v>-50</v>
      </c>
    </row>
    <row r="225" spans="5:86" x14ac:dyDescent="0.25">
      <c r="E225" s="150">
        <v>9</v>
      </c>
      <c r="F225" s="191">
        <f t="shared" si="439"/>
        <v>8.9999999999999993E-3</v>
      </c>
      <c r="G225" s="191"/>
      <c r="H225" s="191">
        <f t="shared" si="404"/>
        <v>0.18</v>
      </c>
      <c r="I225" s="472">
        <f t="shared" si="405"/>
        <v>21</v>
      </c>
      <c r="J225" s="386">
        <f t="shared" si="406"/>
        <v>20.32</v>
      </c>
      <c r="K225" s="386">
        <f t="shared" si="407"/>
        <v>41.32</v>
      </c>
      <c r="L225" s="386"/>
      <c r="M225" s="191">
        <f t="shared" si="408"/>
        <v>0.49177153920619554</v>
      </c>
      <c r="N225" s="152">
        <f t="shared" si="409"/>
        <v>3.5049491965150041</v>
      </c>
      <c r="O225" s="152">
        <f t="shared" si="363"/>
        <v>0.18</v>
      </c>
      <c r="P225" s="191">
        <f t="shared" si="410"/>
        <v>0.17524745982575021</v>
      </c>
      <c r="Q225" s="191">
        <f t="shared" si="411"/>
        <v>20</v>
      </c>
      <c r="R225" s="191"/>
      <c r="S225" s="152">
        <f t="shared" si="412"/>
        <v>766.50876336454905</v>
      </c>
      <c r="T225" s="152">
        <f t="shared" si="413"/>
        <v>20</v>
      </c>
      <c r="U225" s="191">
        <f t="shared" si="414"/>
        <v>3.8732658417697782E-2</v>
      </c>
      <c r="V225" s="191">
        <f t="shared" si="415"/>
        <v>0.27666184584069842</v>
      </c>
      <c r="W225" s="191">
        <f t="shared" si="416"/>
        <v>0.28592021469757217</v>
      </c>
      <c r="X225" s="175">
        <f t="shared" si="417"/>
        <v>350</v>
      </c>
      <c r="Y225" s="386">
        <f t="shared" si="418"/>
        <v>350</v>
      </c>
      <c r="AA225" s="191">
        <f t="shared" si="419"/>
        <v>0.19670861568247827</v>
      </c>
      <c r="AB225" s="153">
        <f t="shared" si="420"/>
        <v>1.4520813165537272</v>
      </c>
      <c r="AC225" s="153">
        <f t="shared" si="421"/>
        <v>4.9986458486592979E-2</v>
      </c>
      <c r="AD225" s="153"/>
      <c r="AE225" s="153">
        <f t="shared" si="422"/>
        <v>1.1072834645669289</v>
      </c>
      <c r="AF225" s="317">
        <f t="shared" si="423"/>
        <v>108.37333333333333</v>
      </c>
      <c r="AG225" s="463">
        <f t="shared" si="424"/>
        <v>2.9066190944881887E-2</v>
      </c>
      <c r="AI225" s="153">
        <f t="shared" si="425"/>
        <v>8.3467701195475266E-2</v>
      </c>
      <c r="AJ225" s="153">
        <f t="shared" si="426"/>
        <v>0.15</v>
      </c>
      <c r="AK225" s="153">
        <f t="shared" si="427"/>
        <v>1.061927619047619</v>
      </c>
      <c r="AM225" s="317">
        <f t="shared" si="428"/>
        <v>9</v>
      </c>
      <c r="AN225" s="147">
        <f t="shared" si="429"/>
        <v>108.37333333333333</v>
      </c>
      <c r="AP225">
        <f t="shared" si="430"/>
        <v>9</v>
      </c>
      <c r="AQ225">
        <f t="shared" si="431"/>
        <v>108.37333333333333</v>
      </c>
      <c r="AS225" s="5">
        <f t="shared" si="364"/>
        <v>9.2273622047244093</v>
      </c>
      <c r="AT225" s="5">
        <f t="shared" si="432"/>
        <v>1.0714285714285714</v>
      </c>
      <c r="AU225" s="5">
        <f t="shared" si="304"/>
        <v>8.1559336332958381</v>
      </c>
      <c r="AV225" s="5"/>
      <c r="AW225" s="153">
        <f t="shared" si="305"/>
        <v>0.11611428571428571</v>
      </c>
      <c r="AX225" s="153"/>
      <c r="BA225" s="147">
        <f t="shared" si="433"/>
        <v>5.8677073027355267</v>
      </c>
      <c r="BB225" s="147">
        <f t="shared" si="434"/>
        <v>0.15784976938775508</v>
      </c>
      <c r="BC225" s="5">
        <f t="shared" si="359"/>
        <v>7.7675558412341306E-2</v>
      </c>
      <c r="BD225" s="147">
        <f t="shared" si="435"/>
        <v>0</v>
      </c>
      <c r="BQ225" s="463">
        <f t="shared" si="436"/>
        <v>3.4379999999999997E-3</v>
      </c>
      <c r="CG225" s="59">
        <f t="shared" si="437"/>
        <v>-50</v>
      </c>
      <c r="CH225">
        <f t="shared" si="438"/>
        <v>-50</v>
      </c>
    </row>
    <row r="226" spans="5:86" x14ac:dyDescent="0.25">
      <c r="E226" s="150">
        <v>10</v>
      </c>
      <c r="F226" s="191">
        <f t="shared" si="439"/>
        <v>1.0000000000000002E-2</v>
      </c>
      <c r="G226" s="191"/>
      <c r="H226" s="191">
        <f t="shared" si="404"/>
        <v>0.20000000000000004</v>
      </c>
      <c r="I226" s="472">
        <f t="shared" si="405"/>
        <v>21</v>
      </c>
      <c r="J226" s="386">
        <f t="shared" si="406"/>
        <v>20.32</v>
      </c>
      <c r="K226" s="386">
        <f t="shared" si="407"/>
        <v>41.32</v>
      </c>
      <c r="L226" s="386"/>
      <c r="M226" s="191">
        <f t="shared" si="408"/>
        <v>0.49177153920619554</v>
      </c>
      <c r="N226" s="152">
        <f t="shared" si="409"/>
        <v>3.5049491965150041</v>
      </c>
      <c r="O226" s="152">
        <f t="shared" si="363"/>
        <v>0.20000000000000004</v>
      </c>
      <c r="P226" s="191">
        <f t="shared" si="410"/>
        <v>0.17524745982575021</v>
      </c>
      <c r="Q226" s="191">
        <f t="shared" si="411"/>
        <v>20</v>
      </c>
      <c r="R226" s="191"/>
      <c r="S226" s="152">
        <f t="shared" si="412"/>
        <v>687.75976630956018</v>
      </c>
      <c r="T226" s="152">
        <f t="shared" si="413"/>
        <v>20</v>
      </c>
      <c r="U226" s="191">
        <f t="shared" si="414"/>
        <v>4.3036287130775328E-2</v>
      </c>
      <c r="V226" s="191">
        <f t="shared" si="415"/>
        <v>0.30740205093410944</v>
      </c>
      <c r="W226" s="191">
        <f t="shared" si="416"/>
        <v>0.31768912744174699</v>
      </c>
      <c r="X226" s="175">
        <f t="shared" si="417"/>
        <v>350</v>
      </c>
      <c r="Y226" s="386">
        <f t="shared" si="418"/>
        <v>350</v>
      </c>
      <c r="AA226" s="191">
        <f t="shared" si="419"/>
        <v>0.19670861568247827</v>
      </c>
      <c r="AB226" s="153">
        <f t="shared" si="420"/>
        <v>1.4520813165537272</v>
      </c>
      <c r="AC226" s="153">
        <f t="shared" si="421"/>
        <v>4.9986458486592979E-2</v>
      </c>
      <c r="AD226" s="153"/>
      <c r="AE226" s="153">
        <f t="shared" si="422"/>
        <v>1.1072834645669289</v>
      </c>
      <c r="AF226" s="317">
        <f t="shared" si="423"/>
        <v>120.41481481481485</v>
      </c>
      <c r="AG226" s="463">
        <f t="shared" si="424"/>
        <v>2.9066190944881887E-2</v>
      </c>
      <c r="AI226" s="153">
        <f t="shared" si="425"/>
        <v>8.7982682278686997E-2</v>
      </c>
      <c r="AJ226" s="153">
        <f t="shared" si="426"/>
        <v>0.15</v>
      </c>
      <c r="AK226" s="153">
        <f t="shared" si="427"/>
        <v>1.0688084656084655</v>
      </c>
      <c r="AM226" s="317">
        <f t="shared" si="428"/>
        <v>10.000000000000002</v>
      </c>
      <c r="AN226" s="147">
        <f t="shared" si="429"/>
        <v>120.41481481481485</v>
      </c>
      <c r="AP226">
        <f t="shared" si="430"/>
        <v>10.000000000000002</v>
      </c>
      <c r="AQ226">
        <f t="shared" si="431"/>
        <v>120.41481481481485</v>
      </c>
      <c r="AS226" s="5">
        <f t="shared" si="364"/>
        <v>8.3046259842519667</v>
      </c>
      <c r="AT226" s="5">
        <f t="shared" si="432"/>
        <v>1.0714285714285714</v>
      </c>
      <c r="AU226" s="5">
        <f t="shared" si="304"/>
        <v>7.2331974128233956</v>
      </c>
      <c r="AV226" s="5"/>
      <c r="AW226" s="153">
        <f t="shared" si="305"/>
        <v>0.12901587301587303</v>
      </c>
      <c r="AX226" s="153"/>
      <c r="BA226" s="147">
        <f t="shared" si="433"/>
        <v>5.8677073027355267</v>
      </c>
      <c r="BB226" s="147">
        <f t="shared" si="434"/>
        <v>0.19154292517006807</v>
      </c>
      <c r="BC226" s="5">
        <f t="shared" si="359"/>
        <v>7.6541771564268751E-2</v>
      </c>
      <c r="BD226" s="147">
        <f t="shared" si="435"/>
        <v>0</v>
      </c>
      <c r="BQ226" s="463">
        <f t="shared" si="436"/>
        <v>3.8200000000000009E-3</v>
      </c>
      <c r="CG226" s="59">
        <f t="shared" si="437"/>
        <v>-50</v>
      </c>
      <c r="CH226">
        <f t="shared" si="438"/>
        <v>-50</v>
      </c>
    </row>
    <row r="227" spans="5:86" x14ac:dyDescent="0.25">
      <c r="E227" s="150">
        <v>11</v>
      </c>
      <c r="F227" s="191">
        <f t="shared" si="439"/>
        <v>1.1000000000000001E-2</v>
      </c>
      <c r="G227" s="191"/>
      <c r="H227" s="191">
        <f t="shared" si="404"/>
        <v>0.22000000000000003</v>
      </c>
      <c r="I227" s="472">
        <f t="shared" si="405"/>
        <v>21</v>
      </c>
      <c r="J227" s="386">
        <f t="shared" si="406"/>
        <v>20.32</v>
      </c>
      <c r="K227" s="386">
        <f t="shared" si="407"/>
        <v>41.32</v>
      </c>
      <c r="L227" s="386"/>
      <c r="M227" s="191">
        <f t="shared" si="408"/>
        <v>0.49177153920619554</v>
      </c>
      <c r="N227" s="152">
        <f t="shared" si="409"/>
        <v>3.5049491965150041</v>
      </c>
      <c r="O227" s="152">
        <f t="shared" si="363"/>
        <v>0.22000000000000003</v>
      </c>
      <c r="P227" s="191">
        <f t="shared" si="410"/>
        <v>0.17524745982575021</v>
      </c>
      <c r="Q227" s="191">
        <f t="shared" si="411"/>
        <v>20</v>
      </c>
      <c r="R227" s="191"/>
      <c r="S227" s="152">
        <f t="shared" si="412"/>
        <v>623.32895711079379</v>
      </c>
      <c r="T227" s="152">
        <f t="shared" si="413"/>
        <v>20</v>
      </c>
      <c r="U227" s="191">
        <f t="shared" si="414"/>
        <v>4.7339915843852852E-2</v>
      </c>
      <c r="V227" s="191">
        <f t="shared" si="415"/>
        <v>0.3381422560275204</v>
      </c>
      <c r="W227" s="191">
        <f t="shared" si="416"/>
        <v>0.34945804018592158</v>
      </c>
      <c r="X227" s="175">
        <f t="shared" si="417"/>
        <v>350</v>
      </c>
      <c r="Y227" s="386">
        <f t="shared" si="418"/>
        <v>350</v>
      </c>
      <c r="AA227" s="191">
        <f t="shared" si="419"/>
        <v>0.19670861568247827</v>
      </c>
      <c r="AB227" s="153">
        <f t="shared" si="420"/>
        <v>1.4520813165537272</v>
      </c>
      <c r="AC227" s="153">
        <f t="shared" si="421"/>
        <v>4.9986458486592979E-2</v>
      </c>
      <c r="AD227" s="153"/>
      <c r="AE227" s="153">
        <f t="shared" si="422"/>
        <v>1.1072834645669289</v>
      </c>
      <c r="AF227" s="317">
        <f t="shared" si="423"/>
        <v>132.45629629629633</v>
      </c>
      <c r="AG227" s="463">
        <f t="shared" si="424"/>
        <v>2.9066190944881887E-2</v>
      </c>
      <c r="AI227" s="153">
        <f t="shared" si="425"/>
        <v>9.2277015659630118E-2</v>
      </c>
      <c r="AJ227" s="153">
        <f t="shared" si="426"/>
        <v>0.15</v>
      </c>
      <c r="AK227" s="153">
        <f t="shared" si="427"/>
        <v>1.0756893121693123</v>
      </c>
      <c r="AM227" s="317">
        <f t="shared" si="428"/>
        <v>11.000000000000002</v>
      </c>
      <c r="AN227" s="147">
        <f t="shared" si="429"/>
        <v>132.45629629629633</v>
      </c>
      <c r="AP227">
        <f t="shared" si="430"/>
        <v>11.000000000000002</v>
      </c>
      <c r="AQ227">
        <f t="shared" si="431"/>
        <v>132.45629629629633</v>
      </c>
      <c r="AS227" s="5">
        <f t="shared" si="364"/>
        <v>7.549659985683606</v>
      </c>
      <c r="AT227" s="5">
        <f t="shared" si="432"/>
        <v>1.0714285714285714</v>
      </c>
      <c r="AU227" s="5">
        <f t="shared" si="304"/>
        <v>6.4782314142550348</v>
      </c>
      <c r="AV227" s="5"/>
      <c r="AW227" s="153">
        <f t="shared" si="305"/>
        <v>0.14191746031746036</v>
      </c>
      <c r="AX227" s="153"/>
      <c r="BA227" s="147">
        <f t="shared" si="433"/>
        <v>5.8677073027355267</v>
      </c>
      <c r="BB227" s="147">
        <f t="shared" si="434"/>
        <v>0.22846693945578236</v>
      </c>
      <c r="BC227" s="5">
        <f t="shared" si="359"/>
        <v>7.5407984716196183E-2</v>
      </c>
      <c r="BD227" s="147">
        <f t="shared" si="435"/>
        <v>0</v>
      </c>
      <c r="BQ227" s="463">
        <f t="shared" si="436"/>
        <v>4.202E-3</v>
      </c>
      <c r="CG227" s="59">
        <f t="shared" si="437"/>
        <v>-50</v>
      </c>
      <c r="CH227">
        <f t="shared" si="438"/>
        <v>-50</v>
      </c>
    </row>
    <row r="228" spans="5:86" x14ac:dyDescent="0.25">
      <c r="E228" s="150">
        <v>12</v>
      </c>
      <c r="F228" s="191">
        <f t="shared" si="439"/>
        <v>1.2E-2</v>
      </c>
      <c r="G228" s="191"/>
      <c r="H228" s="191">
        <f t="shared" si="404"/>
        <v>0.24</v>
      </c>
      <c r="I228" s="472">
        <f t="shared" si="405"/>
        <v>21</v>
      </c>
      <c r="J228" s="386">
        <f t="shared" si="406"/>
        <v>20.32</v>
      </c>
      <c r="K228" s="386">
        <f t="shared" si="407"/>
        <v>41.32</v>
      </c>
      <c r="L228" s="386"/>
      <c r="M228" s="191">
        <f t="shared" si="408"/>
        <v>0.49177153920619554</v>
      </c>
      <c r="N228" s="152">
        <f t="shared" si="409"/>
        <v>3.5049491965150041</v>
      </c>
      <c r="O228" s="152">
        <f t="shared" si="363"/>
        <v>0.24</v>
      </c>
      <c r="P228" s="191">
        <f t="shared" si="410"/>
        <v>0.17524745982575021</v>
      </c>
      <c r="Q228" s="191">
        <f t="shared" si="411"/>
        <v>20</v>
      </c>
      <c r="R228" s="191"/>
      <c r="S228" s="152">
        <f t="shared" si="412"/>
        <v>569.63679036746919</v>
      </c>
      <c r="T228" s="152">
        <f t="shared" si="413"/>
        <v>20</v>
      </c>
      <c r="U228" s="191">
        <f t="shared" si="414"/>
        <v>5.1643544556930376E-2</v>
      </c>
      <c r="V228" s="191">
        <f t="shared" si="415"/>
        <v>0.3688824611209312</v>
      </c>
      <c r="W228" s="191">
        <f t="shared" si="416"/>
        <v>0.38122695293009623</v>
      </c>
      <c r="X228" s="175">
        <f t="shared" si="417"/>
        <v>350</v>
      </c>
      <c r="Y228" s="386">
        <f t="shared" si="418"/>
        <v>350</v>
      </c>
      <c r="AA228" s="191">
        <f t="shared" si="419"/>
        <v>0.19670861568247827</v>
      </c>
      <c r="AB228" s="153">
        <f t="shared" si="420"/>
        <v>1.4520813165537272</v>
      </c>
      <c r="AC228" s="153">
        <f t="shared" si="421"/>
        <v>4.9986458486592979E-2</v>
      </c>
      <c r="AD228" s="153"/>
      <c r="AE228" s="153">
        <f t="shared" si="422"/>
        <v>1.1072834645669289</v>
      </c>
      <c r="AF228" s="317">
        <f t="shared" si="423"/>
        <v>144.49777777777777</v>
      </c>
      <c r="AG228" s="463">
        <f t="shared" si="424"/>
        <v>2.9066190944881887E-2</v>
      </c>
      <c r="AI228" s="153">
        <f t="shared" si="425"/>
        <v>9.638019950769379E-2</v>
      </c>
      <c r="AJ228" s="153">
        <f t="shared" si="426"/>
        <v>0.15</v>
      </c>
      <c r="AK228" s="153">
        <f t="shared" si="427"/>
        <v>1.0825701587301588</v>
      </c>
      <c r="AM228" s="317">
        <f t="shared" si="428"/>
        <v>12</v>
      </c>
      <c r="AN228" s="147">
        <f t="shared" si="429"/>
        <v>144.49777777777777</v>
      </c>
      <c r="AP228">
        <f t="shared" si="430"/>
        <v>12</v>
      </c>
      <c r="AQ228">
        <f t="shared" si="431"/>
        <v>144.49777777777777</v>
      </c>
      <c r="AS228" s="5">
        <f t="shared" si="364"/>
        <v>6.9205216535433074</v>
      </c>
      <c r="AT228" s="5">
        <f t="shared" si="432"/>
        <v>1.0714285714285714</v>
      </c>
      <c r="AU228" s="5">
        <f t="shared" si="304"/>
        <v>5.8490930821147362</v>
      </c>
      <c r="AV228" s="5"/>
      <c r="AW228" s="153">
        <f t="shared" si="305"/>
        <v>0.15481904761904761</v>
      </c>
      <c r="AX228" s="153"/>
      <c r="BA228" s="147">
        <f t="shared" si="433"/>
        <v>5.8677073027355267</v>
      </c>
      <c r="BB228" s="147">
        <f t="shared" si="434"/>
        <v>0.2686218122448979</v>
      </c>
      <c r="BC228" s="5">
        <f t="shared" si="359"/>
        <v>7.4274197868123629E-2</v>
      </c>
      <c r="BD228" s="147">
        <f t="shared" si="435"/>
        <v>0</v>
      </c>
      <c r="BQ228" s="463">
        <f t="shared" si="436"/>
        <v>4.5840000000000004E-3</v>
      </c>
      <c r="CG228" s="59">
        <f t="shared" si="437"/>
        <v>-50</v>
      </c>
      <c r="CH228">
        <f t="shared" si="438"/>
        <v>-50</v>
      </c>
    </row>
    <row r="229" spans="5:86" x14ac:dyDescent="0.25">
      <c r="E229" s="150">
        <v>13</v>
      </c>
      <c r="F229" s="191">
        <f t="shared" si="439"/>
        <v>1.3000000000000001E-2</v>
      </c>
      <c r="G229" s="191"/>
      <c r="H229" s="191">
        <f t="shared" si="404"/>
        <v>0.26</v>
      </c>
      <c r="I229" s="472">
        <f t="shared" si="405"/>
        <v>21</v>
      </c>
      <c r="J229" s="386">
        <f t="shared" si="406"/>
        <v>20.32</v>
      </c>
      <c r="K229" s="386">
        <f t="shared" si="407"/>
        <v>41.32</v>
      </c>
      <c r="L229" s="386"/>
      <c r="M229" s="191">
        <f t="shared" si="408"/>
        <v>0.49177153920619554</v>
      </c>
      <c r="N229" s="152">
        <f t="shared" si="409"/>
        <v>3.5049491965150041</v>
      </c>
      <c r="O229" s="152">
        <f t="shared" si="363"/>
        <v>0.26</v>
      </c>
      <c r="P229" s="191">
        <f t="shared" si="410"/>
        <v>0.17524745982575021</v>
      </c>
      <c r="Q229" s="191">
        <f t="shared" si="411"/>
        <v>20</v>
      </c>
      <c r="R229" s="191"/>
      <c r="S229" s="152">
        <f t="shared" si="412"/>
        <v>524.20511928083408</v>
      </c>
      <c r="T229" s="152">
        <f t="shared" si="413"/>
        <v>20</v>
      </c>
      <c r="U229" s="191">
        <f t="shared" si="414"/>
        <v>5.5947173270007915E-2</v>
      </c>
      <c r="V229" s="191">
        <f t="shared" si="415"/>
        <v>0.39962266621434217</v>
      </c>
      <c r="W229" s="191">
        <f t="shared" si="416"/>
        <v>0.41299586567427099</v>
      </c>
      <c r="X229" s="175">
        <f t="shared" si="417"/>
        <v>350</v>
      </c>
      <c r="Y229" s="386">
        <f t="shared" si="418"/>
        <v>350</v>
      </c>
      <c r="AA229" s="191">
        <f t="shared" si="419"/>
        <v>0.19670861568247827</v>
      </c>
      <c r="AB229" s="153">
        <f t="shared" si="420"/>
        <v>1.4520813165537272</v>
      </c>
      <c r="AC229" s="153">
        <f t="shared" si="421"/>
        <v>4.9986458486592979E-2</v>
      </c>
      <c r="AD229" s="153"/>
      <c r="AE229" s="153">
        <f t="shared" si="422"/>
        <v>1.1072834645669289</v>
      </c>
      <c r="AF229" s="317">
        <f t="shared" si="423"/>
        <v>156.53925925925927</v>
      </c>
      <c r="AG229" s="463">
        <f t="shared" si="424"/>
        <v>2.9066190944881887E-2</v>
      </c>
      <c r="AI229" s="153">
        <f t="shared" si="425"/>
        <v>0.10031569216846434</v>
      </c>
      <c r="AJ229" s="153">
        <f t="shared" si="426"/>
        <v>0.15</v>
      </c>
      <c r="AK229" s="153">
        <f t="shared" si="427"/>
        <v>1.0894510052910054</v>
      </c>
      <c r="AM229" s="317">
        <f t="shared" si="428"/>
        <v>13.000000000000002</v>
      </c>
      <c r="AN229" s="147">
        <f t="shared" si="429"/>
        <v>156.53925925925927</v>
      </c>
      <c r="AP229">
        <f t="shared" si="430"/>
        <v>13.000000000000002</v>
      </c>
      <c r="AQ229">
        <f t="shared" si="431"/>
        <v>156.53925925925927</v>
      </c>
      <c r="AS229" s="5">
        <f t="shared" si="364"/>
        <v>6.3881738340399759</v>
      </c>
      <c r="AT229" s="5">
        <f t="shared" si="432"/>
        <v>1.0714285714285714</v>
      </c>
      <c r="AU229" s="5">
        <f t="shared" si="304"/>
        <v>5.3167452626114047</v>
      </c>
      <c r="AV229" s="5"/>
      <c r="AW229" s="153">
        <f t="shared" si="305"/>
        <v>0.16772063492063491</v>
      </c>
      <c r="AX229" s="153"/>
      <c r="BA229" s="147">
        <f t="shared" si="433"/>
        <v>5.8677073027355267</v>
      </c>
      <c r="BB229" s="147">
        <f t="shared" si="434"/>
        <v>0.312007543537415</v>
      </c>
      <c r="BC229" s="5">
        <f t="shared" si="359"/>
        <v>7.3140411020051074E-2</v>
      </c>
      <c r="BD229" s="147">
        <f t="shared" si="435"/>
        <v>0</v>
      </c>
      <c r="BQ229" s="463">
        <f t="shared" si="436"/>
        <v>4.9660000000000008E-3</v>
      </c>
      <c r="CG229" s="59">
        <f t="shared" si="437"/>
        <v>-50</v>
      </c>
      <c r="CH229">
        <f t="shared" si="438"/>
        <v>-50</v>
      </c>
    </row>
    <row r="230" spans="5:86" x14ac:dyDescent="0.25">
      <c r="E230" s="150">
        <v>14</v>
      </c>
      <c r="F230" s="191">
        <f t="shared" si="439"/>
        <v>1.4000000000000002E-2</v>
      </c>
      <c r="G230" s="191"/>
      <c r="H230" s="191">
        <f t="shared" si="404"/>
        <v>0.28000000000000003</v>
      </c>
      <c r="I230" s="472">
        <f t="shared" si="405"/>
        <v>21</v>
      </c>
      <c r="J230" s="386">
        <f t="shared" si="406"/>
        <v>20.32</v>
      </c>
      <c r="K230" s="386">
        <f t="shared" si="407"/>
        <v>41.32</v>
      </c>
      <c r="L230" s="386"/>
      <c r="M230" s="191">
        <f t="shared" si="408"/>
        <v>0.49177153920619554</v>
      </c>
      <c r="N230" s="152">
        <f t="shared" si="409"/>
        <v>3.5049491965150041</v>
      </c>
      <c r="O230" s="152">
        <f t="shared" si="363"/>
        <v>0.28000000000000003</v>
      </c>
      <c r="P230" s="191">
        <f t="shared" si="410"/>
        <v>0.17524745982575021</v>
      </c>
      <c r="Q230" s="191">
        <f t="shared" si="411"/>
        <v>20</v>
      </c>
      <c r="R230" s="191"/>
      <c r="S230" s="152">
        <f t="shared" si="412"/>
        <v>485.26383901081562</v>
      </c>
      <c r="T230" s="152">
        <f t="shared" si="413"/>
        <v>20</v>
      </c>
      <c r="U230" s="191">
        <f t="shared" si="414"/>
        <v>6.0250801983085446E-2</v>
      </c>
      <c r="V230" s="191">
        <f t="shared" si="415"/>
        <v>0.43036287130775308</v>
      </c>
      <c r="W230" s="191">
        <f t="shared" si="416"/>
        <v>0.44476477841844564</v>
      </c>
      <c r="X230" s="175">
        <f t="shared" si="417"/>
        <v>350</v>
      </c>
      <c r="Y230" s="386">
        <f t="shared" si="418"/>
        <v>350</v>
      </c>
      <c r="AA230" s="191">
        <f t="shared" si="419"/>
        <v>0.19670861568247827</v>
      </c>
      <c r="AB230" s="153">
        <f t="shared" si="420"/>
        <v>1.4520813165537272</v>
      </c>
      <c r="AC230" s="153">
        <f t="shared" si="421"/>
        <v>4.9986458486592979E-2</v>
      </c>
      <c r="AD230" s="153"/>
      <c r="AE230" s="153">
        <f t="shared" si="422"/>
        <v>1.1072834645669289</v>
      </c>
      <c r="AF230" s="317">
        <f t="shared" si="423"/>
        <v>168.58074074074079</v>
      </c>
      <c r="AG230" s="463">
        <f t="shared" si="424"/>
        <v>2.9066190944881887E-2</v>
      </c>
      <c r="AI230" s="153">
        <f t="shared" si="425"/>
        <v>0.10410251357836339</v>
      </c>
      <c r="AJ230" s="153">
        <f t="shared" si="426"/>
        <v>0.15</v>
      </c>
      <c r="AK230" s="153">
        <f t="shared" si="427"/>
        <v>1.0963318518518519</v>
      </c>
      <c r="AM230" s="317">
        <f t="shared" si="428"/>
        <v>14.000000000000002</v>
      </c>
      <c r="AN230" s="147">
        <f t="shared" si="429"/>
        <v>168.58074074074079</v>
      </c>
      <c r="AP230">
        <f t="shared" si="430"/>
        <v>14.000000000000002</v>
      </c>
      <c r="AQ230">
        <f t="shared" si="431"/>
        <v>168.58074074074079</v>
      </c>
      <c r="AS230" s="5">
        <f t="shared" si="364"/>
        <v>5.931875703037119</v>
      </c>
      <c r="AT230" s="5">
        <f t="shared" si="432"/>
        <v>1.0714285714285714</v>
      </c>
      <c r="AU230" s="5">
        <f t="shared" si="304"/>
        <v>4.8604471316085478</v>
      </c>
      <c r="AV230" s="5"/>
      <c r="AW230" s="153">
        <f t="shared" si="305"/>
        <v>0.18062222222222227</v>
      </c>
      <c r="AX230" s="153"/>
      <c r="BA230" s="147">
        <f t="shared" si="433"/>
        <v>5.8677073027355267</v>
      </c>
      <c r="BB230" s="147">
        <f t="shared" si="434"/>
        <v>0.35862413333333343</v>
      </c>
      <c r="BC230" s="5">
        <f t="shared" si="359"/>
        <v>7.2006624171978492E-2</v>
      </c>
      <c r="BD230" s="147">
        <f t="shared" si="435"/>
        <v>0</v>
      </c>
      <c r="BQ230" s="463">
        <f t="shared" si="436"/>
        <v>5.3480000000000003E-3</v>
      </c>
      <c r="CG230" s="59">
        <f t="shared" si="437"/>
        <v>-50</v>
      </c>
      <c r="CH230">
        <f t="shared" si="438"/>
        <v>-50</v>
      </c>
    </row>
    <row r="231" spans="5:86" x14ac:dyDescent="0.25">
      <c r="E231" s="150">
        <v>15</v>
      </c>
      <c r="F231" s="191">
        <f t="shared" si="439"/>
        <v>1.4999999999999999E-2</v>
      </c>
      <c r="G231" s="191"/>
      <c r="H231" s="191">
        <f t="shared" si="404"/>
        <v>0.3</v>
      </c>
      <c r="I231" s="472">
        <f t="shared" si="405"/>
        <v>21</v>
      </c>
      <c r="J231" s="386">
        <f t="shared" si="406"/>
        <v>20.32</v>
      </c>
      <c r="K231" s="386">
        <f t="shared" si="407"/>
        <v>41.32</v>
      </c>
      <c r="L231" s="386"/>
      <c r="M231" s="191">
        <f t="shared" si="408"/>
        <v>0.49177153920619554</v>
      </c>
      <c r="N231" s="152">
        <f t="shared" si="409"/>
        <v>3.5049491965150041</v>
      </c>
      <c r="O231" s="152">
        <f t="shared" si="363"/>
        <v>0.3</v>
      </c>
      <c r="P231" s="191">
        <f t="shared" si="410"/>
        <v>0.17524745982575021</v>
      </c>
      <c r="Q231" s="191">
        <f t="shared" si="411"/>
        <v>20</v>
      </c>
      <c r="R231" s="191"/>
      <c r="S231" s="152">
        <f t="shared" si="412"/>
        <v>451.51487269001615</v>
      </c>
      <c r="T231" s="152">
        <f t="shared" si="413"/>
        <v>20</v>
      </c>
      <c r="U231" s="191">
        <f t="shared" si="414"/>
        <v>6.455443069616297E-2</v>
      </c>
      <c r="V231" s="191">
        <f t="shared" si="415"/>
        <v>0.46110307640116405</v>
      </c>
      <c r="W231" s="191">
        <f t="shared" si="416"/>
        <v>0.47653369116262029</v>
      </c>
      <c r="X231" s="175">
        <f t="shared" si="417"/>
        <v>350</v>
      </c>
      <c r="Y231" s="386">
        <f t="shared" si="418"/>
        <v>350</v>
      </c>
      <c r="AA231" s="191">
        <f t="shared" si="419"/>
        <v>0.19670861568247827</v>
      </c>
      <c r="AB231" s="153">
        <f t="shared" si="420"/>
        <v>1.4520813165537272</v>
      </c>
      <c r="AC231" s="153">
        <f t="shared" si="421"/>
        <v>4.9986458486592979E-2</v>
      </c>
      <c r="AD231" s="153"/>
      <c r="AE231" s="153">
        <f t="shared" si="422"/>
        <v>1.1072834645669289</v>
      </c>
      <c r="AF231" s="317">
        <f t="shared" si="423"/>
        <v>180.62222222222221</v>
      </c>
      <c r="AG231" s="463">
        <f t="shared" si="424"/>
        <v>2.9066190944881887E-2</v>
      </c>
      <c r="AI231" s="153">
        <f t="shared" si="425"/>
        <v>0.10775633889209754</v>
      </c>
      <c r="AJ231" s="153">
        <f t="shared" si="426"/>
        <v>0.15</v>
      </c>
      <c r="AK231" s="153">
        <f t="shared" si="427"/>
        <v>1.1032126984126984</v>
      </c>
      <c r="AM231" s="317">
        <f t="shared" si="428"/>
        <v>15</v>
      </c>
      <c r="AN231" s="147">
        <f t="shared" si="429"/>
        <v>180.62222222222221</v>
      </c>
      <c r="AP231">
        <f t="shared" si="430"/>
        <v>15</v>
      </c>
      <c r="AQ231">
        <f t="shared" si="431"/>
        <v>180.62222222222221</v>
      </c>
      <c r="AS231" s="5">
        <f t="shared" si="364"/>
        <v>5.5364173228346463</v>
      </c>
      <c r="AT231" s="5">
        <f t="shared" si="432"/>
        <v>1.0714285714285714</v>
      </c>
      <c r="AU231" s="5">
        <f t="shared" si="304"/>
        <v>4.4649887514060751</v>
      </c>
      <c r="AV231" s="5"/>
      <c r="AW231" s="153">
        <f t="shared" si="305"/>
        <v>0.19352380952380949</v>
      </c>
      <c r="AX231" s="153"/>
      <c r="BA231" s="147">
        <f t="shared" si="433"/>
        <v>5.8677073027355267</v>
      </c>
      <c r="BB231" s="147">
        <f t="shared" si="434"/>
        <v>0.40847158163265296</v>
      </c>
      <c r="BC231" s="5">
        <f t="shared" si="359"/>
        <v>7.0872837323905952E-2</v>
      </c>
      <c r="BD231" s="147">
        <f t="shared" si="435"/>
        <v>0</v>
      </c>
      <c r="BQ231" s="463">
        <f t="shared" si="436"/>
        <v>5.7299999999999999E-3</v>
      </c>
      <c r="CG231" s="59">
        <f t="shared" si="437"/>
        <v>-50</v>
      </c>
      <c r="CH231">
        <f t="shared" si="438"/>
        <v>-50</v>
      </c>
    </row>
    <row r="232" spans="5:86" x14ac:dyDescent="0.25">
      <c r="E232" s="150">
        <v>16</v>
      </c>
      <c r="F232" s="191">
        <f t="shared" si="439"/>
        <v>1.6E-2</v>
      </c>
      <c r="G232" s="191"/>
      <c r="H232" s="191">
        <f t="shared" si="404"/>
        <v>0.32</v>
      </c>
      <c r="I232" s="472">
        <f t="shared" si="405"/>
        <v>21</v>
      </c>
      <c r="J232" s="386">
        <f t="shared" si="406"/>
        <v>20.32</v>
      </c>
      <c r="K232" s="386">
        <f t="shared" si="407"/>
        <v>41.32</v>
      </c>
      <c r="L232" s="386"/>
      <c r="M232" s="191">
        <f t="shared" si="408"/>
        <v>0.49177153920619554</v>
      </c>
      <c r="N232" s="152">
        <f t="shared" si="409"/>
        <v>3.5049491965150041</v>
      </c>
      <c r="O232" s="152">
        <f t="shared" si="363"/>
        <v>0.32</v>
      </c>
      <c r="P232" s="191">
        <f t="shared" si="410"/>
        <v>0.17524745982575021</v>
      </c>
      <c r="Q232" s="191">
        <f t="shared" si="411"/>
        <v>20</v>
      </c>
      <c r="R232" s="191"/>
      <c r="S232" s="152">
        <f t="shared" si="412"/>
        <v>421.98466268246324</v>
      </c>
      <c r="T232" s="152">
        <f t="shared" si="413"/>
        <v>20</v>
      </c>
      <c r="U232" s="191">
        <f t="shared" si="414"/>
        <v>6.8858059409240502E-2</v>
      </c>
      <c r="V232" s="191">
        <f t="shared" si="415"/>
        <v>0.49184328149457501</v>
      </c>
      <c r="W232" s="191">
        <f t="shared" si="416"/>
        <v>0.50830260390679494</v>
      </c>
      <c r="X232" s="175">
        <f t="shared" si="417"/>
        <v>350</v>
      </c>
      <c r="Y232" s="386">
        <f t="shared" si="418"/>
        <v>350</v>
      </c>
      <c r="AA232" s="191">
        <f t="shared" si="419"/>
        <v>0.19670861568247827</v>
      </c>
      <c r="AB232" s="153">
        <f t="shared" si="420"/>
        <v>1.4520813165537272</v>
      </c>
      <c r="AC232" s="153">
        <f t="shared" si="421"/>
        <v>4.9986458486592979E-2</v>
      </c>
      <c r="AD232" s="153"/>
      <c r="AE232" s="153">
        <f t="shared" si="422"/>
        <v>1.1072834645669289</v>
      </c>
      <c r="AF232" s="317">
        <f t="shared" si="423"/>
        <v>192.6637037037037</v>
      </c>
      <c r="AG232" s="463">
        <f t="shared" si="424"/>
        <v>2.9066190944881887E-2</v>
      </c>
      <c r="AI232" s="153">
        <f t="shared" si="425"/>
        <v>0.11129026826063369</v>
      </c>
      <c r="AJ232" s="153">
        <f t="shared" si="426"/>
        <v>0.15</v>
      </c>
      <c r="AK232" s="153">
        <f t="shared" si="427"/>
        <v>1.110093544973545</v>
      </c>
      <c r="AM232" s="317">
        <f t="shared" si="428"/>
        <v>16</v>
      </c>
      <c r="AN232" s="147">
        <f t="shared" si="429"/>
        <v>192.6637037037037</v>
      </c>
      <c r="AP232">
        <f t="shared" si="430"/>
        <v>16</v>
      </c>
      <c r="AQ232">
        <f t="shared" si="431"/>
        <v>192.6637037037037</v>
      </c>
      <c r="AS232" s="5">
        <f t="shared" si="364"/>
        <v>5.1903912401574805</v>
      </c>
      <c r="AT232" s="5">
        <f t="shared" si="432"/>
        <v>1.0714285714285714</v>
      </c>
      <c r="AU232" s="5">
        <f t="shared" si="304"/>
        <v>4.1189626687289094</v>
      </c>
      <c r="AV232" s="5"/>
      <c r="AW232" s="153">
        <f t="shared" si="305"/>
        <v>0.20642539682539682</v>
      </c>
      <c r="AX232" s="153"/>
      <c r="BA232" s="147">
        <f t="shared" si="433"/>
        <v>5.8677073027355267</v>
      </c>
      <c r="BB232" s="147">
        <f t="shared" si="434"/>
        <v>0.46154988843537403</v>
      </c>
      <c r="BC232" s="5">
        <f t="shared" si="359"/>
        <v>6.9739050475833397E-2</v>
      </c>
      <c r="BD232" s="147">
        <f t="shared" si="435"/>
        <v>0</v>
      </c>
      <c r="BQ232" s="463">
        <f t="shared" si="436"/>
        <v>6.1120000000000002E-3</v>
      </c>
      <c r="CG232" s="59">
        <f t="shared" si="437"/>
        <v>-50</v>
      </c>
      <c r="CH232">
        <f t="shared" si="438"/>
        <v>-50</v>
      </c>
    </row>
    <row r="233" spans="5:86" x14ac:dyDescent="0.25">
      <c r="E233" s="150">
        <v>17</v>
      </c>
      <c r="F233" s="191">
        <f t="shared" si="439"/>
        <v>1.7000000000000001E-2</v>
      </c>
      <c r="G233" s="191"/>
      <c r="H233" s="191">
        <f t="shared" si="404"/>
        <v>0.34</v>
      </c>
      <c r="I233" s="472">
        <f t="shared" si="405"/>
        <v>21</v>
      </c>
      <c r="J233" s="386">
        <f t="shared" si="406"/>
        <v>20.32</v>
      </c>
      <c r="K233" s="386">
        <f t="shared" si="407"/>
        <v>41.32</v>
      </c>
      <c r="L233" s="386"/>
      <c r="M233" s="191">
        <f t="shared" si="408"/>
        <v>0.49177153920619554</v>
      </c>
      <c r="N233" s="152">
        <f t="shared" si="409"/>
        <v>3.5049491965150041</v>
      </c>
      <c r="O233" s="152">
        <f t="shared" si="363"/>
        <v>0.34</v>
      </c>
      <c r="P233" s="191">
        <f t="shared" si="410"/>
        <v>0.17524745982575021</v>
      </c>
      <c r="Q233" s="191">
        <f t="shared" si="411"/>
        <v>20</v>
      </c>
      <c r="R233" s="191"/>
      <c r="S233" s="152">
        <f t="shared" si="412"/>
        <v>395.92872375104065</v>
      </c>
      <c r="T233" s="152">
        <f t="shared" si="413"/>
        <v>20</v>
      </c>
      <c r="U233" s="191">
        <f t="shared" si="414"/>
        <v>7.3161688122318047E-2</v>
      </c>
      <c r="V233" s="191">
        <f t="shared" si="415"/>
        <v>0.52258348658798603</v>
      </c>
      <c r="W233" s="191">
        <f t="shared" si="416"/>
        <v>0.54007151665096986</v>
      </c>
      <c r="X233" s="175">
        <f t="shared" si="417"/>
        <v>350</v>
      </c>
      <c r="Y233" s="386">
        <f t="shared" si="418"/>
        <v>350</v>
      </c>
      <c r="AA233" s="191">
        <f t="shared" si="419"/>
        <v>0.19670861568247827</v>
      </c>
      <c r="AB233" s="153">
        <f t="shared" si="420"/>
        <v>1.4520813165537272</v>
      </c>
      <c r="AC233" s="153">
        <f t="shared" si="421"/>
        <v>4.9986458486592979E-2</v>
      </c>
      <c r="AD233" s="153"/>
      <c r="AE233" s="153">
        <f t="shared" si="422"/>
        <v>1.1072834645669289</v>
      </c>
      <c r="AF233" s="317">
        <f t="shared" si="423"/>
        <v>204.70518518518523</v>
      </c>
      <c r="AG233" s="463">
        <f t="shared" si="424"/>
        <v>2.9066190944881887E-2</v>
      </c>
      <c r="AI233" s="153">
        <f t="shared" si="425"/>
        <v>0.11471538278547934</v>
      </c>
      <c r="AJ233" s="153">
        <f t="shared" si="426"/>
        <v>0.15</v>
      </c>
      <c r="AK233" s="153">
        <f t="shared" si="427"/>
        <v>1.1169743915343915</v>
      </c>
      <c r="AM233" s="317">
        <f t="shared" si="428"/>
        <v>17</v>
      </c>
      <c r="AN233" s="147">
        <f t="shared" si="429"/>
        <v>204.70518518518523</v>
      </c>
      <c r="AP233">
        <f t="shared" si="430"/>
        <v>17</v>
      </c>
      <c r="AQ233">
        <f t="shared" si="431"/>
        <v>204.70518518518523</v>
      </c>
      <c r="AS233" s="5">
        <f t="shared" si="364"/>
        <v>4.8850741083835105</v>
      </c>
      <c r="AT233" s="5">
        <f t="shared" si="432"/>
        <v>1.0714285714285714</v>
      </c>
      <c r="AU233" s="5">
        <f t="shared" si="304"/>
        <v>3.8136455369549394</v>
      </c>
      <c r="AV233" s="5"/>
      <c r="AW233" s="153">
        <f t="shared" si="305"/>
        <v>0.21932698412698415</v>
      </c>
      <c r="AX233" s="153"/>
      <c r="BA233" s="147">
        <f t="shared" si="433"/>
        <v>5.8677073027355267</v>
      </c>
      <c r="BB233" s="147">
        <f t="shared" si="434"/>
        <v>0.51785905374149666</v>
      </c>
      <c r="BC233" s="5">
        <f t="shared" si="359"/>
        <v>6.8605263627760815E-2</v>
      </c>
      <c r="BD233" s="147">
        <f t="shared" si="435"/>
        <v>0</v>
      </c>
      <c r="BQ233" s="463">
        <f t="shared" si="436"/>
        <v>6.4939999999999998E-3</v>
      </c>
      <c r="CG233" s="59">
        <f t="shared" si="437"/>
        <v>-50</v>
      </c>
      <c r="CH233">
        <f t="shared" si="438"/>
        <v>-50</v>
      </c>
    </row>
    <row r="234" spans="5:86" x14ac:dyDescent="0.25">
      <c r="E234" s="150">
        <v>18</v>
      </c>
      <c r="F234" s="191">
        <f t="shared" si="439"/>
        <v>1.7999999999999999E-2</v>
      </c>
      <c r="G234" s="191"/>
      <c r="H234" s="191">
        <f t="shared" si="404"/>
        <v>0.36</v>
      </c>
      <c r="I234" s="472">
        <f t="shared" si="405"/>
        <v>21</v>
      </c>
      <c r="J234" s="386">
        <f t="shared" si="406"/>
        <v>20.32</v>
      </c>
      <c r="K234" s="386">
        <f t="shared" si="407"/>
        <v>41.32</v>
      </c>
      <c r="L234" s="386"/>
      <c r="M234" s="191">
        <f t="shared" si="408"/>
        <v>0.49177153920619554</v>
      </c>
      <c r="N234" s="152">
        <f t="shared" si="409"/>
        <v>3.5049491965150041</v>
      </c>
      <c r="O234" s="152">
        <f t="shared" si="363"/>
        <v>0.36</v>
      </c>
      <c r="P234" s="191">
        <f t="shared" si="410"/>
        <v>0.17524745982575021</v>
      </c>
      <c r="Q234" s="191">
        <f t="shared" si="411"/>
        <v>20</v>
      </c>
      <c r="R234" s="191"/>
      <c r="S234" s="152">
        <f t="shared" si="412"/>
        <v>372.76801183577822</v>
      </c>
      <c r="T234" s="152">
        <f t="shared" si="413"/>
        <v>20</v>
      </c>
      <c r="U234" s="191">
        <f t="shared" si="414"/>
        <v>7.7465316835395565E-2</v>
      </c>
      <c r="V234" s="191">
        <f t="shared" si="415"/>
        <v>0.55332369168139683</v>
      </c>
      <c r="W234" s="191">
        <f t="shared" si="416"/>
        <v>0.57184042939514435</v>
      </c>
      <c r="X234" s="175">
        <f t="shared" si="417"/>
        <v>350</v>
      </c>
      <c r="Y234" s="386">
        <f t="shared" si="418"/>
        <v>350</v>
      </c>
      <c r="AA234" s="191">
        <f t="shared" si="419"/>
        <v>0.19670861568247827</v>
      </c>
      <c r="AB234" s="153">
        <f t="shared" si="420"/>
        <v>1.4520813165537272</v>
      </c>
      <c r="AC234" s="153">
        <f t="shared" si="421"/>
        <v>4.9986458486592979E-2</v>
      </c>
      <c r="AD234" s="153"/>
      <c r="AE234" s="153">
        <f t="shared" si="422"/>
        <v>1.1072834645669289</v>
      </c>
      <c r="AF234" s="317">
        <f t="shared" si="423"/>
        <v>216.74666666666667</v>
      </c>
      <c r="AG234" s="463">
        <f t="shared" si="424"/>
        <v>2.9066190944881887E-2</v>
      </c>
      <c r="AI234" s="153">
        <f t="shared" si="425"/>
        <v>0.11804115505074612</v>
      </c>
      <c r="AJ234" s="153">
        <f t="shared" si="426"/>
        <v>0.15</v>
      </c>
      <c r="AK234" s="153">
        <f t="shared" si="427"/>
        <v>1.123855238095238</v>
      </c>
      <c r="AM234" s="317">
        <f t="shared" si="428"/>
        <v>18</v>
      </c>
      <c r="AN234" s="147">
        <f t="shared" si="429"/>
        <v>216.74666666666667</v>
      </c>
      <c r="AP234">
        <f t="shared" si="430"/>
        <v>18</v>
      </c>
      <c r="AQ234">
        <f t="shared" si="431"/>
        <v>216.74666666666667</v>
      </c>
      <c r="AS234" s="5">
        <f t="shared" si="364"/>
        <v>4.6136811023622046</v>
      </c>
      <c r="AT234" s="5">
        <f t="shared" si="432"/>
        <v>1.0714285714285714</v>
      </c>
      <c r="AU234" s="5">
        <f t="shared" ref="AU234:AU297" si="440">AS234-AT234</f>
        <v>3.5422525309336335</v>
      </c>
      <c r="AV234" s="5"/>
      <c r="AW234" s="153">
        <f t="shared" ref="AW234:AW297" si="441">AT234/AS234</f>
        <v>0.23222857142857142</v>
      </c>
      <c r="AX234" s="153"/>
      <c r="BA234" s="147">
        <f t="shared" si="433"/>
        <v>5.8677073027355267</v>
      </c>
      <c r="BB234" s="147">
        <f t="shared" si="434"/>
        <v>0.57739907755102027</v>
      </c>
      <c r="BC234" s="5">
        <f t="shared" si="359"/>
        <v>6.7471476779688247E-2</v>
      </c>
      <c r="BD234" s="147">
        <f t="shared" si="435"/>
        <v>0</v>
      </c>
      <c r="BQ234" s="463">
        <f t="shared" si="436"/>
        <v>6.8759999999999993E-3</v>
      </c>
      <c r="CG234" s="59">
        <f t="shared" si="437"/>
        <v>-50</v>
      </c>
      <c r="CH234">
        <f t="shared" si="438"/>
        <v>-50</v>
      </c>
    </row>
    <row r="235" spans="5:86" x14ac:dyDescent="0.25">
      <c r="E235" s="150">
        <v>19</v>
      </c>
      <c r="F235" s="191">
        <f t="shared" si="439"/>
        <v>1.9000000000000003E-2</v>
      </c>
      <c r="G235" s="191"/>
      <c r="H235" s="191">
        <f t="shared" si="404"/>
        <v>0.38000000000000006</v>
      </c>
      <c r="I235" s="472">
        <f t="shared" si="405"/>
        <v>21</v>
      </c>
      <c r="J235" s="386">
        <f t="shared" si="406"/>
        <v>20.32</v>
      </c>
      <c r="K235" s="386">
        <f t="shared" si="407"/>
        <v>41.32</v>
      </c>
      <c r="L235" s="386"/>
      <c r="M235" s="191">
        <f t="shared" si="408"/>
        <v>0.49177153920619554</v>
      </c>
      <c r="N235" s="152">
        <f t="shared" si="409"/>
        <v>3.5049491965150041</v>
      </c>
      <c r="O235" s="152">
        <f t="shared" si="363"/>
        <v>0.38000000000000006</v>
      </c>
      <c r="P235" s="191">
        <f t="shared" si="410"/>
        <v>0.17524745982575021</v>
      </c>
      <c r="Q235" s="191">
        <f t="shared" si="411"/>
        <v>20</v>
      </c>
      <c r="R235" s="191"/>
      <c r="S235" s="152">
        <f t="shared" si="412"/>
        <v>352.0453869021589</v>
      </c>
      <c r="T235" s="152">
        <f t="shared" si="413"/>
        <v>20</v>
      </c>
      <c r="U235" s="191">
        <f t="shared" si="414"/>
        <v>8.176894554847311E-2</v>
      </c>
      <c r="V235" s="191">
        <f t="shared" si="415"/>
        <v>0.58406389677480786</v>
      </c>
      <c r="W235" s="191">
        <f t="shared" si="416"/>
        <v>0.60360934213931916</v>
      </c>
      <c r="X235" s="175">
        <f t="shared" si="417"/>
        <v>350</v>
      </c>
      <c r="Y235" s="386">
        <f t="shared" si="418"/>
        <v>350</v>
      </c>
      <c r="AA235" s="191">
        <f t="shared" si="419"/>
        <v>0.19670861568247827</v>
      </c>
      <c r="AB235" s="153">
        <f t="shared" si="420"/>
        <v>1.4520813165537272</v>
      </c>
      <c r="AC235" s="153">
        <f t="shared" si="421"/>
        <v>4.9986458486592979E-2</v>
      </c>
      <c r="AD235" s="153"/>
      <c r="AE235" s="153">
        <f t="shared" si="422"/>
        <v>1.1072834645669289</v>
      </c>
      <c r="AF235" s="317">
        <f t="shared" si="423"/>
        <v>228.7881481481482</v>
      </c>
      <c r="AG235" s="463">
        <f t="shared" si="424"/>
        <v>2.9066190944881887E-2</v>
      </c>
      <c r="AI235" s="153">
        <f t="shared" si="425"/>
        <v>0.1212757581869086</v>
      </c>
      <c r="AJ235" s="153">
        <f t="shared" si="426"/>
        <v>0.15</v>
      </c>
      <c r="AK235" s="153">
        <f t="shared" si="427"/>
        <v>1.1307360846560848</v>
      </c>
      <c r="AM235" s="317">
        <f t="shared" si="428"/>
        <v>19.000000000000004</v>
      </c>
      <c r="AN235" s="147">
        <f t="shared" si="429"/>
        <v>228.7881481481482</v>
      </c>
      <c r="AP235">
        <f t="shared" si="430"/>
        <v>19.000000000000004</v>
      </c>
      <c r="AQ235">
        <f t="shared" si="431"/>
        <v>228.7881481481482</v>
      </c>
      <c r="AS235" s="5">
        <f t="shared" si="364"/>
        <v>4.370855781185246</v>
      </c>
      <c r="AT235" s="5">
        <f t="shared" si="432"/>
        <v>1.0714285714285714</v>
      </c>
      <c r="AU235" s="5">
        <f t="shared" si="440"/>
        <v>3.2994272097566748</v>
      </c>
      <c r="AV235" s="5"/>
      <c r="AW235" s="153">
        <f t="shared" si="441"/>
        <v>0.24513015873015875</v>
      </c>
      <c r="AX235" s="153"/>
      <c r="BA235" s="147">
        <f t="shared" si="433"/>
        <v>5.8677073027355267</v>
      </c>
      <c r="BB235" s="147">
        <f t="shared" si="434"/>
        <v>0.64016995986394576</v>
      </c>
      <c r="BC235" s="5">
        <f t="shared" si="359"/>
        <v>6.6337689931615693E-2</v>
      </c>
      <c r="BD235" s="147">
        <f t="shared" si="435"/>
        <v>0</v>
      </c>
      <c r="BQ235" s="463">
        <f t="shared" si="436"/>
        <v>7.2580000000000014E-3</v>
      </c>
      <c r="CG235" s="59">
        <f t="shared" si="437"/>
        <v>-50</v>
      </c>
      <c r="CH235">
        <f t="shared" si="438"/>
        <v>-50</v>
      </c>
    </row>
    <row r="236" spans="5:86" x14ac:dyDescent="0.25">
      <c r="E236" s="150">
        <v>20</v>
      </c>
      <c r="F236" s="191">
        <f t="shared" si="439"/>
        <v>2.0000000000000004E-2</v>
      </c>
      <c r="G236" s="191"/>
      <c r="H236" s="191">
        <f t="shared" si="404"/>
        <v>0.40000000000000008</v>
      </c>
      <c r="I236" s="472">
        <f t="shared" si="405"/>
        <v>21</v>
      </c>
      <c r="J236" s="386">
        <f t="shared" si="406"/>
        <v>20.32</v>
      </c>
      <c r="K236" s="386">
        <f t="shared" si="407"/>
        <v>41.32</v>
      </c>
      <c r="L236" s="386"/>
      <c r="M236" s="191">
        <f t="shared" si="408"/>
        <v>0.49177153920619554</v>
      </c>
      <c r="N236" s="152">
        <f t="shared" si="409"/>
        <v>3.5049491965150041</v>
      </c>
      <c r="O236" s="152">
        <f t="shared" si="363"/>
        <v>0.40000000000000008</v>
      </c>
      <c r="P236" s="191">
        <f t="shared" si="410"/>
        <v>0.17524745982575021</v>
      </c>
      <c r="Q236" s="191">
        <f t="shared" si="411"/>
        <v>20</v>
      </c>
      <c r="R236" s="191"/>
      <c r="S236" s="152">
        <f t="shared" si="412"/>
        <v>333.39513693493706</v>
      </c>
      <c r="T236" s="152">
        <f t="shared" si="413"/>
        <v>20</v>
      </c>
      <c r="U236" s="191">
        <f t="shared" si="414"/>
        <v>8.6072574261550655E-2</v>
      </c>
      <c r="V236" s="191">
        <f t="shared" si="415"/>
        <v>0.61480410186821888</v>
      </c>
      <c r="W236" s="191">
        <f t="shared" si="416"/>
        <v>0.63537825488349398</v>
      </c>
      <c r="X236" s="175">
        <f t="shared" si="417"/>
        <v>350</v>
      </c>
      <c r="Y236" s="386">
        <f t="shared" si="418"/>
        <v>350</v>
      </c>
      <c r="AA236" s="191">
        <f t="shared" si="419"/>
        <v>0.19670861568247827</v>
      </c>
      <c r="AB236" s="153">
        <f t="shared" si="420"/>
        <v>1.4520813165537272</v>
      </c>
      <c r="AC236" s="153">
        <f t="shared" si="421"/>
        <v>4.9986458486592979E-2</v>
      </c>
      <c r="AD236" s="153"/>
      <c r="AE236" s="153">
        <f t="shared" si="422"/>
        <v>1.1072834645669289</v>
      </c>
      <c r="AF236" s="317">
        <f t="shared" si="423"/>
        <v>240.82962962962969</v>
      </c>
      <c r="AG236" s="463">
        <f t="shared" si="424"/>
        <v>2.9066190944881887E-2</v>
      </c>
      <c r="AI236" s="153">
        <f t="shared" si="425"/>
        <v>0.12442630253248213</v>
      </c>
      <c r="AJ236" s="153">
        <f t="shared" si="426"/>
        <v>0.15</v>
      </c>
      <c r="AK236" s="153">
        <f t="shared" si="427"/>
        <v>1.1376169312169313</v>
      </c>
      <c r="AM236" s="317">
        <f t="shared" si="428"/>
        <v>20.000000000000004</v>
      </c>
      <c r="AN236" s="147">
        <f t="shared" si="429"/>
        <v>240.82962962962969</v>
      </c>
      <c r="AP236">
        <f t="shared" si="430"/>
        <v>20.000000000000004</v>
      </c>
      <c r="AQ236">
        <f t="shared" si="431"/>
        <v>240.82962962962969</v>
      </c>
      <c r="AS236" s="5">
        <f t="shared" si="364"/>
        <v>4.1523129921259834</v>
      </c>
      <c r="AT236" s="5">
        <f t="shared" si="432"/>
        <v>1.0714285714285714</v>
      </c>
      <c r="AU236" s="5">
        <f t="shared" si="440"/>
        <v>3.0808844206974122</v>
      </c>
      <c r="AV236" s="5"/>
      <c r="AW236" s="153">
        <f t="shared" si="441"/>
        <v>0.25803174603174606</v>
      </c>
      <c r="AX236" s="153"/>
      <c r="BA236" s="147">
        <f t="shared" si="433"/>
        <v>5.8677073027355267</v>
      </c>
      <c r="BB236" s="147">
        <f t="shared" si="434"/>
        <v>0.70617170068027235</v>
      </c>
      <c r="BC236" s="5">
        <f t="shared" si="359"/>
        <v>6.5203903083543138E-2</v>
      </c>
      <c r="BD236" s="147">
        <f t="shared" si="435"/>
        <v>0</v>
      </c>
      <c r="BQ236" s="463">
        <f t="shared" si="436"/>
        <v>7.6400000000000018E-3</v>
      </c>
      <c r="CG236" s="59">
        <f t="shared" si="437"/>
        <v>-50</v>
      </c>
      <c r="CH236">
        <f t="shared" si="438"/>
        <v>-50</v>
      </c>
    </row>
    <row r="237" spans="5:86" x14ac:dyDescent="0.25">
      <c r="E237" s="150">
        <v>21</v>
      </c>
      <c r="F237" s="191">
        <f t="shared" si="439"/>
        <v>2.1000000000000001E-2</v>
      </c>
      <c r="G237" s="191"/>
      <c r="H237" s="191">
        <f t="shared" si="404"/>
        <v>0.42000000000000004</v>
      </c>
      <c r="I237" s="472">
        <f t="shared" si="405"/>
        <v>21</v>
      </c>
      <c r="J237" s="386">
        <f t="shared" si="406"/>
        <v>20.32</v>
      </c>
      <c r="K237" s="386">
        <f t="shared" si="407"/>
        <v>41.32</v>
      </c>
      <c r="L237" s="386"/>
      <c r="M237" s="191">
        <f t="shared" si="408"/>
        <v>0.49177153920619554</v>
      </c>
      <c r="N237" s="152">
        <f t="shared" si="409"/>
        <v>3.5049491965150041</v>
      </c>
      <c r="O237" s="152">
        <f t="shared" si="363"/>
        <v>0.42000000000000004</v>
      </c>
      <c r="P237" s="191">
        <f t="shared" si="410"/>
        <v>0.17524745982575021</v>
      </c>
      <c r="Q237" s="191">
        <f t="shared" si="411"/>
        <v>20</v>
      </c>
      <c r="R237" s="191"/>
      <c r="S237" s="152">
        <f t="shared" si="412"/>
        <v>316.52120936229704</v>
      </c>
      <c r="T237" s="152">
        <f t="shared" si="413"/>
        <v>20</v>
      </c>
      <c r="U237" s="191">
        <f t="shared" si="414"/>
        <v>9.0376202974628173E-2</v>
      </c>
      <c r="V237" s="191">
        <f t="shared" si="415"/>
        <v>0.64554430696162979</v>
      </c>
      <c r="W237" s="191">
        <f t="shared" si="416"/>
        <v>0.66714716762766857</v>
      </c>
      <c r="X237" s="175">
        <f t="shared" si="417"/>
        <v>350</v>
      </c>
      <c r="Y237" s="386">
        <f t="shared" si="418"/>
        <v>350</v>
      </c>
      <c r="AA237" s="191">
        <f t="shared" si="419"/>
        <v>0.19670861568247827</v>
      </c>
      <c r="AB237" s="153">
        <f t="shared" si="420"/>
        <v>1.4520813165537272</v>
      </c>
      <c r="AC237" s="153">
        <f t="shared" si="421"/>
        <v>4.9986458486592979E-2</v>
      </c>
      <c r="AD237" s="153"/>
      <c r="AE237" s="153">
        <f t="shared" si="422"/>
        <v>1.1072834645669289</v>
      </c>
      <c r="AF237" s="317">
        <f t="shared" si="423"/>
        <v>252.87111111111116</v>
      </c>
      <c r="AG237" s="463">
        <f t="shared" si="424"/>
        <v>2.9066190944881887E-2</v>
      </c>
      <c r="AI237" s="153">
        <f t="shared" si="425"/>
        <v>0.12749901960407384</v>
      </c>
      <c r="AJ237" s="153">
        <f t="shared" si="426"/>
        <v>0.15</v>
      </c>
      <c r="AK237" s="153">
        <f t="shared" si="427"/>
        <v>1.1444977777777778</v>
      </c>
      <c r="AM237" s="317">
        <f t="shared" si="428"/>
        <v>21</v>
      </c>
      <c r="AN237" s="147">
        <f t="shared" si="429"/>
        <v>252.87111111111116</v>
      </c>
      <c r="AP237">
        <f t="shared" si="430"/>
        <v>21</v>
      </c>
      <c r="AQ237">
        <f t="shared" si="431"/>
        <v>252.87111111111116</v>
      </c>
      <c r="AS237" s="5">
        <f t="shared" si="364"/>
        <v>3.9545838020247461</v>
      </c>
      <c r="AT237" s="5">
        <f t="shared" si="432"/>
        <v>1.0714285714285714</v>
      </c>
      <c r="AU237" s="5">
        <f t="shared" si="440"/>
        <v>2.8831552305961745</v>
      </c>
      <c r="AV237" s="5"/>
      <c r="AW237" s="153">
        <f t="shared" si="441"/>
        <v>0.27093333333333336</v>
      </c>
      <c r="AX237" s="153"/>
      <c r="BA237" s="147">
        <f t="shared" si="433"/>
        <v>5.8677073027355267</v>
      </c>
      <c r="BB237" s="147">
        <f t="shared" si="434"/>
        <v>0.77540430000000016</v>
      </c>
      <c r="BC237" s="5">
        <f t="shared" si="359"/>
        <v>6.4070116235470542E-2</v>
      </c>
      <c r="BD237" s="147">
        <f t="shared" si="435"/>
        <v>0</v>
      </c>
      <c r="BQ237" s="463">
        <f t="shared" si="436"/>
        <v>8.0220000000000014E-3</v>
      </c>
      <c r="CG237" s="59">
        <f t="shared" si="437"/>
        <v>-50</v>
      </c>
      <c r="CH237">
        <f t="shared" si="438"/>
        <v>-50</v>
      </c>
    </row>
    <row r="238" spans="5:86" x14ac:dyDescent="0.25">
      <c r="E238" s="150">
        <v>22</v>
      </c>
      <c r="F238" s="191">
        <f t="shared" si="439"/>
        <v>2.2000000000000002E-2</v>
      </c>
      <c r="G238" s="191"/>
      <c r="H238" s="191">
        <f t="shared" si="404"/>
        <v>0.44000000000000006</v>
      </c>
      <c r="I238" s="472">
        <f t="shared" si="405"/>
        <v>21</v>
      </c>
      <c r="J238" s="386">
        <f t="shared" si="406"/>
        <v>20.32</v>
      </c>
      <c r="K238" s="386">
        <f t="shared" si="407"/>
        <v>41.32</v>
      </c>
      <c r="L238" s="386"/>
      <c r="M238" s="191">
        <f t="shared" si="408"/>
        <v>0.49177153920619554</v>
      </c>
      <c r="N238" s="152">
        <f t="shared" si="409"/>
        <v>3.5049491965150041</v>
      </c>
      <c r="O238" s="152">
        <f t="shared" si="363"/>
        <v>0.44000000000000006</v>
      </c>
      <c r="P238" s="191">
        <f t="shared" si="410"/>
        <v>0.17524745982575021</v>
      </c>
      <c r="Q238" s="191">
        <f t="shared" si="411"/>
        <v>20</v>
      </c>
      <c r="R238" s="191"/>
      <c r="S238" s="152">
        <f t="shared" si="412"/>
        <v>301.18137936433499</v>
      </c>
      <c r="T238" s="152">
        <f t="shared" si="413"/>
        <v>20</v>
      </c>
      <c r="U238" s="191">
        <f t="shared" si="414"/>
        <v>9.4679831687705704E-2</v>
      </c>
      <c r="V238" s="191">
        <f t="shared" si="415"/>
        <v>0.67628451205504081</v>
      </c>
      <c r="W238" s="191">
        <f t="shared" si="416"/>
        <v>0.69891608037184316</v>
      </c>
      <c r="X238" s="175">
        <f t="shared" si="417"/>
        <v>350</v>
      </c>
      <c r="Y238" s="386">
        <f t="shared" si="418"/>
        <v>350</v>
      </c>
      <c r="AA238" s="191">
        <f t="shared" si="419"/>
        <v>0.19670861568247827</v>
      </c>
      <c r="AB238" s="153">
        <f t="shared" si="420"/>
        <v>1.4520813165537272</v>
      </c>
      <c r="AC238" s="153">
        <f t="shared" si="421"/>
        <v>4.9986458486592979E-2</v>
      </c>
      <c r="AD238" s="153"/>
      <c r="AE238" s="153">
        <f t="shared" si="422"/>
        <v>1.1072834645669289</v>
      </c>
      <c r="AF238" s="317">
        <f t="shared" si="423"/>
        <v>264.91259259259266</v>
      </c>
      <c r="AG238" s="463">
        <f t="shared" si="424"/>
        <v>2.9066190944881887E-2</v>
      </c>
      <c r="AI238" s="153">
        <f t="shared" si="425"/>
        <v>0.13049940704116339</v>
      </c>
      <c r="AJ238" s="153">
        <f t="shared" si="426"/>
        <v>0.15</v>
      </c>
      <c r="AK238" s="153">
        <f t="shared" si="427"/>
        <v>1.1513786243386244</v>
      </c>
      <c r="AM238" s="317">
        <f t="shared" si="428"/>
        <v>22.000000000000004</v>
      </c>
      <c r="AN238" s="147">
        <f t="shared" si="429"/>
        <v>264.91259259259266</v>
      </c>
      <c r="AP238">
        <f t="shared" si="430"/>
        <v>22.000000000000004</v>
      </c>
      <c r="AQ238">
        <f t="shared" si="431"/>
        <v>264.91259259259266</v>
      </c>
      <c r="AS238" s="5">
        <f t="shared" si="364"/>
        <v>3.774829992841803</v>
      </c>
      <c r="AT238" s="5">
        <f t="shared" si="432"/>
        <v>1.0714285714285714</v>
      </c>
      <c r="AU238" s="5">
        <f t="shared" si="440"/>
        <v>2.7034014214132318</v>
      </c>
      <c r="AV238" s="5"/>
      <c r="AW238" s="153">
        <f t="shared" si="441"/>
        <v>0.28383492063492072</v>
      </c>
      <c r="AX238" s="153"/>
      <c r="BA238" s="147">
        <f t="shared" si="433"/>
        <v>5.8677073027355267</v>
      </c>
      <c r="BB238" s="147">
        <f t="shared" si="434"/>
        <v>0.84786775782312951</v>
      </c>
      <c r="BC238" s="5">
        <f t="shared" si="359"/>
        <v>6.2936329387398002E-2</v>
      </c>
      <c r="BD238" s="147">
        <f t="shared" si="435"/>
        <v>0</v>
      </c>
      <c r="BQ238" s="463">
        <f t="shared" si="436"/>
        <v>8.404E-3</v>
      </c>
      <c r="CG238" s="59">
        <f t="shared" si="437"/>
        <v>-50</v>
      </c>
      <c r="CH238">
        <f t="shared" si="438"/>
        <v>-50</v>
      </c>
    </row>
    <row r="239" spans="5:86" x14ac:dyDescent="0.25">
      <c r="E239" s="150">
        <v>23</v>
      </c>
      <c r="F239" s="191">
        <f t="shared" si="439"/>
        <v>2.3000000000000003E-2</v>
      </c>
      <c r="G239" s="191"/>
      <c r="H239" s="191">
        <f t="shared" si="404"/>
        <v>0.46000000000000008</v>
      </c>
      <c r="I239" s="472">
        <f t="shared" si="405"/>
        <v>21</v>
      </c>
      <c r="J239" s="386">
        <f t="shared" si="406"/>
        <v>20.32</v>
      </c>
      <c r="K239" s="386">
        <f t="shared" si="407"/>
        <v>41.32</v>
      </c>
      <c r="L239" s="386"/>
      <c r="M239" s="191">
        <f t="shared" si="408"/>
        <v>0.49177153920619554</v>
      </c>
      <c r="N239" s="152">
        <f t="shared" si="409"/>
        <v>3.5049491965150041</v>
      </c>
      <c r="O239" s="152">
        <f t="shared" si="363"/>
        <v>0.46000000000000008</v>
      </c>
      <c r="P239" s="191">
        <f t="shared" si="410"/>
        <v>0.17524745982575021</v>
      </c>
      <c r="Q239" s="191">
        <f t="shared" si="411"/>
        <v>20</v>
      </c>
      <c r="R239" s="191"/>
      <c r="S239" s="152">
        <f t="shared" si="412"/>
        <v>287.17554818802739</v>
      </c>
      <c r="T239" s="152">
        <f t="shared" si="413"/>
        <v>20</v>
      </c>
      <c r="U239" s="191">
        <f t="shared" si="414"/>
        <v>9.8983460400783249E-2</v>
      </c>
      <c r="V239" s="191">
        <f t="shared" si="415"/>
        <v>0.70702471714845172</v>
      </c>
      <c r="W239" s="191">
        <f t="shared" si="416"/>
        <v>0.73068499311601798</v>
      </c>
      <c r="X239" s="175">
        <f t="shared" si="417"/>
        <v>350</v>
      </c>
      <c r="Y239" s="386">
        <f t="shared" si="418"/>
        <v>350</v>
      </c>
      <c r="AA239" s="191">
        <f t="shared" si="419"/>
        <v>0.19670861568247827</v>
      </c>
      <c r="AB239" s="153">
        <f t="shared" si="420"/>
        <v>1.4520813165537272</v>
      </c>
      <c r="AC239" s="153">
        <f t="shared" si="421"/>
        <v>4.9986458486592979E-2</v>
      </c>
      <c r="AD239" s="153"/>
      <c r="AE239" s="153">
        <f t="shared" si="422"/>
        <v>1.1072834645669289</v>
      </c>
      <c r="AF239" s="317">
        <f t="shared" si="423"/>
        <v>276.95407407407419</v>
      </c>
      <c r="AG239" s="463">
        <f t="shared" si="424"/>
        <v>2.9066190944881887E-2</v>
      </c>
      <c r="AI239" s="153">
        <f t="shared" si="425"/>
        <v>0.13343234419056904</v>
      </c>
      <c r="AJ239" s="153">
        <f t="shared" si="426"/>
        <v>0.15</v>
      </c>
      <c r="AK239" s="153">
        <f t="shared" si="427"/>
        <v>1.1582594708994709</v>
      </c>
      <c r="AM239" s="317">
        <f t="shared" si="428"/>
        <v>23.000000000000004</v>
      </c>
      <c r="AN239" s="147">
        <f t="shared" si="429"/>
        <v>276.95407407407419</v>
      </c>
      <c r="AP239">
        <f t="shared" si="430"/>
        <v>23.000000000000004</v>
      </c>
      <c r="AQ239">
        <f t="shared" si="431"/>
        <v>276.95407407407419</v>
      </c>
      <c r="AS239" s="5">
        <f t="shared" si="364"/>
        <v>3.6107069496747677</v>
      </c>
      <c r="AT239" s="5">
        <f t="shared" si="432"/>
        <v>1.0714285714285714</v>
      </c>
      <c r="AU239" s="5">
        <f t="shared" si="440"/>
        <v>2.5392783782461965</v>
      </c>
      <c r="AV239" s="5"/>
      <c r="AW239" s="153">
        <f t="shared" si="441"/>
        <v>0.29673650793650802</v>
      </c>
      <c r="AX239" s="153"/>
      <c r="BA239" s="147">
        <f t="shared" si="433"/>
        <v>5.8677073027355267</v>
      </c>
      <c r="BB239" s="147">
        <f t="shared" si="434"/>
        <v>0.92356207414966018</v>
      </c>
      <c r="BC239" s="5">
        <f t="shared" si="359"/>
        <v>6.1802542539325434E-2</v>
      </c>
      <c r="BD239" s="147">
        <f t="shared" si="435"/>
        <v>0</v>
      </c>
      <c r="BQ239" s="463">
        <f t="shared" si="436"/>
        <v>8.7860000000000004E-3</v>
      </c>
      <c r="CG239" s="59">
        <f t="shared" si="437"/>
        <v>-50</v>
      </c>
      <c r="CH239">
        <f t="shared" si="438"/>
        <v>-50</v>
      </c>
    </row>
    <row r="240" spans="5:86" x14ac:dyDescent="0.25">
      <c r="E240" s="150">
        <v>24</v>
      </c>
      <c r="F240" s="191">
        <f t="shared" si="439"/>
        <v>2.4E-2</v>
      </c>
      <c r="G240" s="191"/>
      <c r="H240" s="191">
        <f t="shared" si="404"/>
        <v>0.48</v>
      </c>
      <c r="I240" s="472">
        <f t="shared" si="405"/>
        <v>21</v>
      </c>
      <c r="J240" s="386">
        <f t="shared" si="406"/>
        <v>20.32</v>
      </c>
      <c r="K240" s="386">
        <f t="shared" si="407"/>
        <v>41.32</v>
      </c>
      <c r="L240" s="386"/>
      <c r="M240" s="191">
        <f t="shared" si="408"/>
        <v>0.49177153920619554</v>
      </c>
      <c r="N240" s="152">
        <f t="shared" si="409"/>
        <v>3.5049491965150041</v>
      </c>
      <c r="O240" s="152">
        <f t="shared" si="363"/>
        <v>0.48</v>
      </c>
      <c r="P240" s="191">
        <f t="shared" si="410"/>
        <v>0.17524745982575021</v>
      </c>
      <c r="Q240" s="191">
        <f t="shared" si="411"/>
        <v>20</v>
      </c>
      <c r="R240" s="191"/>
      <c r="S240" s="152">
        <f t="shared" si="412"/>
        <v>274.33696688345924</v>
      </c>
      <c r="T240" s="152">
        <f t="shared" si="413"/>
        <v>20</v>
      </c>
      <c r="U240" s="191">
        <f t="shared" si="414"/>
        <v>0.10328708911386075</v>
      </c>
      <c r="V240" s="191">
        <f t="shared" si="415"/>
        <v>0.73776492224186241</v>
      </c>
      <c r="W240" s="191">
        <f t="shared" si="416"/>
        <v>0.76245390586019246</v>
      </c>
      <c r="X240" s="175">
        <f t="shared" si="417"/>
        <v>350</v>
      </c>
      <c r="Y240" s="386">
        <f t="shared" si="418"/>
        <v>350</v>
      </c>
      <c r="AA240" s="191">
        <f t="shared" si="419"/>
        <v>0.19670861568247827</v>
      </c>
      <c r="AB240" s="153">
        <f t="shared" si="420"/>
        <v>1.4520813165537272</v>
      </c>
      <c r="AC240" s="153">
        <f t="shared" si="421"/>
        <v>4.9986458486592979E-2</v>
      </c>
      <c r="AD240" s="153"/>
      <c r="AE240" s="153">
        <f t="shared" si="422"/>
        <v>1.1072834645669289</v>
      </c>
      <c r="AF240" s="317">
        <f t="shared" si="423"/>
        <v>288.99555555555554</v>
      </c>
      <c r="AG240" s="463">
        <f t="shared" si="424"/>
        <v>2.9066190944881887E-2</v>
      </c>
      <c r="AI240" s="153">
        <f t="shared" si="425"/>
        <v>0.13630218528800525</v>
      </c>
      <c r="AJ240" s="153">
        <f t="shared" si="426"/>
        <v>0.15</v>
      </c>
      <c r="AK240" s="153">
        <f t="shared" si="427"/>
        <v>1.1651403174603174</v>
      </c>
      <c r="AM240" s="317">
        <f t="shared" si="428"/>
        <v>24</v>
      </c>
      <c r="AN240" s="147">
        <f t="shared" si="429"/>
        <v>288.99555555555554</v>
      </c>
      <c r="AP240">
        <f t="shared" si="430"/>
        <v>24</v>
      </c>
      <c r="AQ240">
        <f t="shared" si="431"/>
        <v>288.99555555555554</v>
      </c>
      <c r="AS240" s="5">
        <f t="shared" si="364"/>
        <v>3.4602608267716537</v>
      </c>
      <c r="AT240" s="5">
        <f t="shared" si="432"/>
        <v>1.0714285714285714</v>
      </c>
      <c r="AU240" s="5">
        <f t="shared" si="440"/>
        <v>2.3888322553430825</v>
      </c>
      <c r="AV240" s="5"/>
      <c r="AW240" s="153">
        <f t="shared" si="441"/>
        <v>0.30963809523809521</v>
      </c>
      <c r="AX240" s="153"/>
      <c r="BA240" s="147">
        <f t="shared" si="433"/>
        <v>5.8677073027355267</v>
      </c>
      <c r="BB240" s="147">
        <f t="shared" si="434"/>
        <v>1.0024872489795917</v>
      </c>
      <c r="BC240" s="5">
        <f t="shared" si="359"/>
        <v>6.0668755691252886E-2</v>
      </c>
      <c r="BD240" s="147">
        <f t="shared" si="435"/>
        <v>0</v>
      </c>
      <c r="BQ240" s="463">
        <f t="shared" si="436"/>
        <v>9.1680000000000008E-3</v>
      </c>
      <c r="CG240" s="59">
        <f t="shared" si="437"/>
        <v>-50</v>
      </c>
      <c r="CH240">
        <f t="shared" si="438"/>
        <v>-50</v>
      </c>
    </row>
    <row r="241" spans="5:86" x14ac:dyDescent="0.25">
      <c r="E241" s="150">
        <v>25</v>
      </c>
      <c r="F241" s="191">
        <f t="shared" si="439"/>
        <v>2.5000000000000001E-2</v>
      </c>
      <c r="G241" s="191"/>
      <c r="H241" s="191">
        <f t="shared" si="404"/>
        <v>0.5</v>
      </c>
      <c r="I241" s="472">
        <f t="shared" si="405"/>
        <v>21</v>
      </c>
      <c r="J241" s="386">
        <f t="shared" si="406"/>
        <v>20.32</v>
      </c>
      <c r="K241" s="386">
        <f t="shared" si="407"/>
        <v>41.32</v>
      </c>
      <c r="L241" s="386"/>
      <c r="M241" s="191">
        <f t="shared" si="408"/>
        <v>0.49177153920619554</v>
      </c>
      <c r="N241" s="152">
        <f t="shared" si="409"/>
        <v>3.5049491965150041</v>
      </c>
      <c r="O241" s="152">
        <f t="shared" si="363"/>
        <v>0.5</v>
      </c>
      <c r="P241" s="191">
        <f t="shared" si="410"/>
        <v>0.17524745982575021</v>
      </c>
      <c r="Q241" s="191">
        <f t="shared" si="411"/>
        <v>20</v>
      </c>
      <c r="R241" s="191"/>
      <c r="S241" s="152">
        <f t="shared" si="412"/>
        <v>262.52556634336082</v>
      </c>
      <c r="T241" s="152">
        <f t="shared" si="413"/>
        <v>20</v>
      </c>
      <c r="U241" s="191">
        <f t="shared" si="414"/>
        <v>0.1075907178269383</v>
      </c>
      <c r="V241" s="191">
        <f t="shared" si="415"/>
        <v>0.76850512733527343</v>
      </c>
      <c r="W241" s="191">
        <f t="shared" si="416"/>
        <v>0.79422281860436728</v>
      </c>
      <c r="X241" s="175">
        <f t="shared" si="417"/>
        <v>350</v>
      </c>
      <c r="Y241" s="386">
        <f t="shared" si="418"/>
        <v>350</v>
      </c>
      <c r="AA241" s="191">
        <f t="shared" si="419"/>
        <v>0.19670861568247827</v>
      </c>
      <c r="AB241" s="153">
        <f t="shared" si="420"/>
        <v>1.4520813165537272</v>
      </c>
      <c r="AC241" s="153">
        <f t="shared" si="421"/>
        <v>4.9986458486592979E-2</v>
      </c>
      <c r="AD241" s="153"/>
      <c r="AE241" s="153">
        <f t="shared" si="422"/>
        <v>1.1072834645669289</v>
      </c>
      <c r="AF241" s="317">
        <f t="shared" si="423"/>
        <v>301.03703703703707</v>
      </c>
      <c r="AG241" s="463">
        <f t="shared" si="424"/>
        <v>2.9066190944881887E-2</v>
      </c>
      <c r="AI241" s="153">
        <f t="shared" si="425"/>
        <v>0.13911283532579213</v>
      </c>
      <c r="AJ241" s="153">
        <f t="shared" si="426"/>
        <v>0.15</v>
      </c>
      <c r="AK241" s="153">
        <f t="shared" si="427"/>
        <v>1.172021164021164</v>
      </c>
      <c r="AM241" s="317">
        <f t="shared" si="428"/>
        <v>25</v>
      </c>
      <c r="AN241" s="147">
        <f t="shared" si="429"/>
        <v>301.03703703703707</v>
      </c>
      <c r="AP241">
        <f t="shared" si="430"/>
        <v>25</v>
      </c>
      <c r="AQ241">
        <f t="shared" si="431"/>
        <v>301.03703703703707</v>
      </c>
      <c r="AS241" s="5">
        <f t="shared" si="364"/>
        <v>3.3218503937007871</v>
      </c>
      <c r="AT241" s="5">
        <f t="shared" si="432"/>
        <v>1.0714285714285714</v>
      </c>
      <c r="AU241" s="5">
        <f t="shared" si="440"/>
        <v>2.2504218222722159</v>
      </c>
      <c r="AV241" s="5"/>
      <c r="AW241" s="153">
        <f t="shared" si="441"/>
        <v>0.32253968253968257</v>
      </c>
      <c r="AX241" s="153"/>
      <c r="BA241" s="147">
        <f t="shared" si="433"/>
        <v>5.8677073027355267</v>
      </c>
      <c r="BB241" s="147">
        <f t="shared" si="434"/>
        <v>1.0846432823129253</v>
      </c>
      <c r="BC241" s="5">
        <f t="shared" si="359"/>
        <v>5.9534968843180318E-2</v>
      </c>
      <c r="BD241" s="147">
        <f t="shared" si="435"/>
        <v>0</v>
      </c>
      <c r="BQ241" s="463">
        <f t="shared" si="436"/>
        <v>9.5500000000000012E-3</v>
      </c>
      <c r="CG241" s="59">
        <f t="shared" si="437"/>
        <v>-50</v>
      </c>
      <c r="CH241">
        <f t="shared" si="438"/>
        <v>-50</v>
      </c>
    </row>
    <row r="242" spans="5:86" x14ac:dyDescent="0.25">
      <c r="E242" s="150">
        <v>26</v>
      </c>
      <c r="F242" s="191">
        <f t="shared" si="439"/>
        <v>2.6000000000000002E-2</v>
      </c>
      <c r="G242" s="191"/>
      <c r="H242" s="191">
        <f t="shared" si="404"/>
        <v>0.52</v>
      </c>
      <c r="I242" s="472">
        <f t="shared" si="405"/>
        <v>21</v>
      </c>
      <c r="J242" s="386">
        <f t="shared" si="406"/>
        <v>20.32</v>
      </c>
      <c r="K242" s="386">
        <f t="shared" si="407"/>
        <v>41.32</v>
      </c>
      <c r="L242" s="386"/>
      <c r="M242" s="191">
        <f t="shared" si="408"/>
        <v>0.49177153920619554</v>
      </c>
      <c r="N242" s="152">
        <f t="shared" si="409"/>
        <v>3.5049491965150041</v>
      </c>
      <c r="O242" s="152">
        <f t="shared" si="363"/>
        <v>0.52</v>
      </c>
      <c r="P242" s="191">
        <f t="shared" si="410"/>
        <v>0.17524745982575021</v>
      </c>
      <c r="Q242" s="191">
        <f t="shared" si="411"/>
        <v>20</v>
      </c>
      <c r="R242" s="191"/>
      <c r="S242" s="152">
        <f t="shared" si="412"/>
        <v>251.62282656429247</v>
      </c>
      <c r="T242" s="152">
        <f t="shared" si="413"/>
        <v>20</v>
      </c>
      <c r="U242" s="191">
        <f t="shared" si="414"/>
        <v>0.11189434654001583</v>
      </c>
      <c r="V242" s="191">
        <f t="shared" si="415"/>
        <v>0.79924533242868434</v>
      </c>
      <c r="W242" s="191">
        <f t="shared" si="416"/>
        <v>0.82599173134854198</v>
      </c>
      <c r="X242" s="175">
        <f t="shared" si="417"/>
        <v>350</v>
      </c>
      <c r="Y242" s="386">
        <f t="shared" si="418"/>
        <v>350</v>
      </c>
      <c r="AA242" s="191">
        <f t="shared" si="419"/>
        <v>0.19670861568247827</v>
      </c>
      <c r="AB242" s="153">
        <f t="shared" si="420"/>
        <v>1.4520813165537272</v>
      </c>
      <c r="AC242" s="153">
        <f t="shared" si="421"/>
        <v>4.9986458486592979E-2</v>
      </c>
      <c r="AD242" s="153"/>
      <c r="AE242" s="153">
        <f t="shared" si="422"/>
        <v>1.1072834645669289</v>
      </c>
      <c r="AF242" s="317">
        <f t="shared" si="423"/>
        <v>313.07851851851854</v>
      </c>
      <c r="AG242" s="463">
        <f t="shared" si="424"/>
        <v>2.9066190944881887E-2</v>
      </c>
      <c r="AI242" s="153">
        <f t="shared" si="425"/>
        <v>0.14186781238348675</v>
      </c>
      <c r="AJ242" s="153">
        <f t="shared" si="426"/>
        <v>0.15</v>
      </c>
      <c r="AK242" s="153">
        <f t="shared" si="427"/>
        <v>1.1789020105820107</v>
      </c>
      <c r="AM242" s="317">
        <f t="shared" si="428"/>
        <v>26.000000000000004</v>
      </c>
      <c r="AN242" s="147">
        <f t="shared" si="429"/>
        <v>313.07851851851854</v>
      </c>
      <c r="AP242">
        <f t="shared" si="430"/>
        <v>26.000000000000004</v>
      </c>
      <c r="AQ242">
        <f t="shared" si="431"/>
        <v>313.07851851851854</v>
      </c>
      <c r="AS242" s="5">
        <f t="shared" si="364"/>
        <v>3.1940869170199879</v>
      </c>
      <c r="AT242" s="5">
        <f t="shared" si="432"/>
        <v>1.0714285714285714</v>
      </c>
      <c r="AU242" s="5">
        <f t="shared" si="440"/>
        <v>2.1226583455914163</v>
      </c>
      <c r="AV242" s="5"/>
      <c r="AW242" s="153">
        <f t="shared" si="441"/>
        <v>0.33544126984126982</v>
      </c>
      <c r="AX242" s="153"/>
      <c r="BA242" s="147">
        <f t="shared" si="433"/>
        <v>5.8677073027355267</v>
      </c>
      <c r="BB242" s="147">
        <f t="shared" si="434"/>
        <v>1.1700301741496602</v>
      </c>
      <c r="BC242" s="5">
        <f t="shared" si="359"/>
        <v>5.8401181995107757E-2</v>
      </c>
      <c r="BD242" s="147">
        <f t="shared" si="435"/>
        <v>0</v>
      </c>
      <c r="BQ242" s="463">
        <f t="shared" si="436"/>
        <v>9.9320000000000016E-3</v>
      </c>
      <c r="CG242" s="59">
        <f t="shared" si="437"/>
        <v>-50</v>
      </c>
      <c r="CH242">
        <f t="shared" si="438"/>
        <v>-50</v>
      </c>
    </row>
    <row r="243" spans="5:86" x14ac:dyDescent="0.25">
      <c r="E243" s="150">
        <v>27</v>
      </c>
      <c r="F243" s="191">
        <f t="shared" si="439"/>
        <v>2.7000000000000003E-2</v>
      </c>
      <c r="G243" s="191"/>
      <c r="H243" s="191">
        <f t="shared" si="404"/>
        <v>0.54</v>
      </c>
      <c r="I243" s="472">
        <f t="shared" si="405"/>
        <v>21</v>
      </c>
      <c r="J243" s="386">
        <f t="shared" si="406"/>
        <v>20.32</v>
      </c>
      <c r="K243" s="386">
        <f t="shared" si="407"/>
        <v>41.32</v>
      </c>
      <c r="L243" s="386"/>
      <c r="M243" s="191">
        <f t="shared" si="408"/>
        <v>0.49177153920619554</v>
      </c>
      <c r="N243" s="152">
        <f t="shared" si="409"/>
        <v>3.5049491965150041</v>
      </c>
      <c r="O243" s="152">
        <f t="shared" si="363"/>
        <v>0.54</v>
      </c>
      <c r="P243" s="191">
        <f t="shared" si="410"/>
        <v>0.17524745982575021</v>
      </c>
      <c r="Q243" s="191">
        <f t="shared" si="411"/>
        <v>20</v>
      </c>
      <c r="R243" s="191"/>
      <c r="S243" s="152">
        <f t="shared" si="412"/>
        <v>241.52778607201304</v>
      </c>
      <c r="T243" s="152">
        <f t="shared" si="413"/>
        <v>20</v>
      </c>
      <c r="U243" s="191">
        <f t="shared" si="414"/>
        <v>0.11619797525309336</v>
      </c>
      <c r="V243" s="191">
        <f t="shared" si="415"/>
        <v>0.82998553752209525</v>
      </c>
      <c r="W243" s="191">
        <f t="shared" si="416"/>
        <v>0.85776064409271657</v>
      </c>
      <c r="X243" s="175">
        <f t="shared" si="417"/>
        <v>350</v>
      </c>
      <c r="Y243" s="386">
        <f t="shared" si="418"/>
        <v>350</v>
      </c>
      <c r="AA243" s="191">
        <f t="shared" si="419"/>
        <v>0.19670861568247827</v>
      </c>
      <c r="AB243" s="153">
        <f t="shared" si="420"/>
        <v>1.4520813165537272</v>
      </c>
      <c r="AC243" s="153">
        <f t="shared" si="421"/>
        <v>4.9986458486592979E-2</v>
      </c>
      <c r="AD243" s="153"/>
      <c r="AE243" s="153">
        <f t="shared" si="422"/>
        <v>1.1072834645669289</v>
      </c>
      <c r="AF243" s="317">
        <f t="shared" si="423"/>
        <v>325.12000000000006</v>
      </c>
      <c r="AG243" s="463">
        <f t="shared" si="424"/>
        <v>2.9066190944881887E-2</v>
      </c>
      <c r="AI243" s="153">
        <f t="shared" si="425"/>
        <v>0.14457029926154069</v>
      </c>
      <c r="AJ243" s="153">
        <f t="shared" si="426"/>
        <v>0.15</v>
      </c>
      <c r="AK243" s="153">
        <f t="shared" si="427"/>
        <v>1.1857828571428572</v>
      </c>
      <c r="AM243" s="317">
        <f t="shared" si="428"/>
        <v>27.000000000000004</v>
      </c>
      <c r="AN243" s="147">
        <f t="shared" si="429"/>
        <v>325.12000000000006</v>
      </c>
      <c r="AP243">
        <f t="shared" si="430"/>
        <v>27.000000000000004</v>
      </c>
      <c r="AQ243">
        <f t="shared" si="431"/>
        <v>325.12000000000006</v>
      </c>
      <c r="AS243" s="5">
        <f t="shared" si="364"/>
        <v>3.0757874015748023</v>
      </c>
      <c r="AT243" s="5">
        <f t="shared" si="432"/>
        <v>1.0714285714285714</v>
      </c>
      <c r="AU243" s="5">
        <f t="shared" si="440"/>
        <v>2.0043588301462307</v>
      </c>
      <c r="AV243" s="5"/>
      <c r="AW243" s="153">
        <f t="shared" si="441"/>
        <v>0.34834285714285723</v>
      </c>
      <c r="AX243" s="153"/>
      <c r="BA243" s="147">
        <f t="shared" si="433"/>
        <v>5.8677073027355267</v>
      </c>
      <c r="BB243" s="147">
        <f t="shared" si="434"/>
        <v>1.2586479244897959</v>
      </c>
      <c r="BC243" s="5">
        <f t="shared" si="359"/>
        <v>5.7267395147035161E-2</v>
      </c>
      <c r="BD243" s="147">
        <f t="shared" si="435"/>
        <v>0</v>
      </c>
      <c r="BQ243" s="463">
        <f t="shared" si="436"/>
        <v>1.0314000000000002E-2</v>
      </c>
      <c r="CG243" s="59">
        <f t="shared" si="437"/>
        <v>-50</v>
      </c>
      <c r="CH243">
        <f t="shared" si="438"/>
        <v>-50</v>
      </c>
    </row>
    <row r="244" spans="5:86" x14ac:dyDescent="0.25">
      <c r="E244" s="150">
        <v>28</v>
      </c>
      <c r="F244" s="191">
        <f t="shared" si="439"/>
        <v>2.8000000000000004E-2</v>
      </c>
      <c r="G244" s="191"/>
      <c r="H244" s="191">
        <f t="shared" si="404"/>
        <v>0.56000000000000005</v>
      </c>
      <c r="I244" s="472">
        <f t="shared" si="405"/>
        <v>21</v>
      </c>
      <c r="J244" s="386">
        <f t="shared" si="406"/>
        <v>20.32</v>
      </c>
      <c r="K244" s="386">
        <f t="shared" si="407"/>
        <v>41.32</v>
      </c>
      <c r="L244" s="386"/>
      <c r="M244" s="191">
        <f t="shared" si="408"/>
        <v>0.49177153920619554</v>
      </c>
      <c r="N244" s="152">
        <f t="shared" si="409"/>
        <v>3.5049491965150041</v>
      </c>
      <c r="O244" s="152">
        <f t="shared" si="363"/>
        <v>0.56000000000000005</v>
      </c>
      <c r="P244" s="191">
        <f t="shared" si="410"/>
        <v>0.17524745982575021</v>
      </c>
      <c r="Q244" s="191">
        <f t="shared" si="411"/>
        <v>20</v>
      </c>
      <c r="R244" s="191"/>
      <c r="S244" s="152">
        <f t="shared" si="412"/>
        <v>232.15390646998637</v>
      </c>
      <c r="T244" s="152">
        <f t="shared" si="413"/>
        <v>20</v>
      </c>
      <c r="U244" s="191">
        <f t="shared" si="414"/>
        <v>0.12050160396617089</v>
      </c>
      <c r="V244" s="191">
        <f t="shared" si="415"/>
        <v>0.86072574261550616</v>
      </c>
      <c r="W244" s="191">
        <f t="shared" si="416"/>
        <v>0.88952955683689128</v>
      </c>
      <c r="X244" s="175">
        <f t="shared" si="417"/>
        <v>350</v>
      </c>
      <c r="Y244" s="386">
        <f t="shared" si="418"/>
        <v>350</v>
      </c>
      <c r="AA244" s="191">
        <f t="shared" si="419"/>
        <v>0.19670861568247827</v>
      </c>
      <c r="AB244" s="153">
        <f t="shared" si="420"/>
        <v>1.4520813165537272</v>
      </c>
      <c r="AC244" s="153">
        <f t="shared" si="421"/>
        <v>4.9986458486592979E-2</v>
      </c>
      <c r="AD244" s="153"/>
      <c r="AE244" s="153">
        <f t="shared" si="422"/>
        <v>1.1072834645669289</v>
      </c>
      <c r="AF244" s="317">
        <f t="shared" si="423"/>
        <v>337.16148148148159</v>
      </c>
      <c r="AG244" s="463">
        <f t="shared" si="424"/>
        <v>2.9066190944881887E-2</v>
      </c>
      <c r="AI244" s="153">
        <f t="shared" si="425"/>
        <v>0.14722318657965081</v>
      </c>
      <c r="AJ244" s="153">
        <f t="shared" si="426"/>
        <v>0.15</v>
      </c>
      <c r="AK244" s="153">
        <f t="shared" si="427"/>
        <v>1.1926637037037038</v>
      </c>
      <c r="AM244" s="317">
        <f t="shared" si="428"/>
        <v>28.000000000000004</v>
      </c>
      <c r="AN244" s="147">
        <f t="shared" si="429"/>
        <v>337.16148148148159</v>
      </c>
      <c r="AP244">
        <f t="shared" si="430"/>
        <v>28.000000000000004</v>
      </c>
      <c r="AQ244">
        <f t="shared" si="431"/>
        <v>337.16148148148159</v>
      </c>
      <c r="AS244" s="5">
        <f t="shared" si="364"/>
        <v>2.9659378515185595</v>
      </c>
      <c r="AT244" s="5">
        <f t="shared" si="432"/>
        <v>1.0714285714285714</v>
      </c>
      <c r="AU244" s="5">
        <f t="shared" si="440"/>
        <v>1.8945092800899881</v>
      </c>
      <c r="AV244" s="5"/>
      <c r="AW244" s="153">
        <f t="shared" si="441"/>
        <v>0.36124444444444453</v>
      </c>
      <c r="AX244" s="153"/>
      <c r="BA244" s="147">
        <f t="shared" si="433"/>
        <v>5.8677073027355267</v>
      </c>
      <c r="BB244" s="147">
        <f t="shared" si="434"/>
        <v>1.3504965333333339</v>
      </c>
      <c r="BC244" s="5">
        <f t="shared" si="359"/>
        <v>5.6133608298962613E-2</v>
      </c>
      <c r="BD244" s="147">
        <f t="shared" si="435"/>
        <v>0</v>
      </c>
      <c r="BQ244" s="463">
        <f t="shared" si="436"/>
        <v>1.0696000000000001E-2</v>
      </c>
      <c r="CG244" s="59">
        <f t="shared" si="437"/>
        <v>-50</v>
      </c>
      <c r="CH244">
        <f t="shared" si="438"/>
        <v>-50</v>
      </c>
    </row>
    <row r="245" spans="5:86" x14ac:dyDescent="0.25">
      <c r="E245" s="150">
        <v>29</v>
      </c>
      <c r="F245" s="191">
        <f t="shared" si="439"/>
        <v>2.8999999999999998E-2</v>
      </c>
      <c r="G245" s="191"/>
      <c r="H245" s="191">
        <f t="shared" si="404"/>
        <v>0.57999999999999996</v>
      </c>
      <c r="I245" s="472">
        <f t="shared" si="405"/>
        <v>21</v>
      </c>
      <c r="J245" s="386">
        <f t="shared" si="406"/>
        <v>20.32</v>
      </c>
      <c r="K245" s="386">
        <f t="shared" si="407"/>
        <v>41.32</v>
      </c>
      <c r="L245" s="386"/>
      <c r="M245" s="191">
        <f t="shared" si="408"/>
        <v>0.49177153920619554</v>
      </c>
      <c r="N245" s="152">
        <f t="shared" si="409"/>
        <v>3.5049491965150041</v>
      </c>
      <c r="O245" s="152">
        <f t="shared" si="363"/>
        <v>0.57999999999999996</v>
      </c>
      <c r="P245" s="191">
        <f t="shared" si="410"/>
        <v>0.17524745982575021</v>
      </c>
      <c r="Q245" s="191">
        <f t="shared" si="411"/>
        <v>20</v>
      </c>
      <c r="R245" s="191"/>
      <c r="S245" s="152">
        <f t="shared" si="412"/>
        <v>223.42658570199248</v>
      </c>
      <c r="T245" s="152">
        <f t="shared" si="413"/>
        <v>20</v>
      </c>
      <c r="U245" s="191">
        <f t="shared" si="414"/>
        <v>0.12480523267924841</v>
      </c>
      <c r="V245" s="191">
        <f t="shared" si="415"/>
        <v>0.89146594770891707</v>
      </c>
      <c r="W245" s="191">
        <f t="shared" si="416"/>
        <v>0.92129846958106587</v>
      </c>
      <c r="X245" s="175">
        <f t="shared" si="417"/>
        <v>350</v>
      </c>
      <c r="Y245" s="386">
        <f t="shared" si="418"/>
        <v>350</v>
      </c>
      <c r="AA245" s="191">
        <f t="shared" si="419"/>
        <v>0.19670861568247827</v>
      </c>
      <c r="AB245" s="153">
        <f t="shared" si="420"/>
        <v>1.4520813165537272</v>
      </c>
      <c r="AC245" s="153">
        <f t="shared" si="421"/>
        <v>4.9986458486592979E-2</v>
      </c>
      <c r="AD245" s="153"/>
      <c r="AE245" s="153">
        <f t="shared" si="422"/>
        <v>1.1072834645669289</v>
      </c>
      <c r="AF245" s="317">
        <f t="shared" si="423"/>
        <v>349.202962962963</v>
      </c>
      <c r="AG245" s="463">
        <f t="shared" si="424"/>
        <v>2.9066190944881887E-2</v>
      </c>
      <c r="AI245" s="153">
        <f t="shared" si="425"/>
        <v>0.14982910900343066</v>
      </c>
      <c r="AJ245" s="153">
        <f t="shared" si="426"/>
        <v>0.15</v>
      </c>
      <c r="AK245" s="153">
        <f t="shared" si="427"/>
        <v>1.1995445502645503</v>
      </c>
      <c r="AM245" s="317">
        <f t="shared" si="428"/>
        <v>28.999999999999996</v>
      </c>
      <c r="AN245" s="147">
        <f t="shared" si="429"/>
        <v>349.202962962963</v>
      </c>
      <c r="AP245">
        <f t="shared" si="430"/>
        <v>28.999999999999996</v>
      </c>
      <c r="AQ245">
        <f t="shared" si="431"/>
        <v>349.202962962963</v>
      </c>
      <c r="AS245" s="5">
        <f t="shared" si="364"/>
        <v>2.8636641325006784</v>
      </c>
      <c r="AT245" s="5">
        <f t="shared" si="432"/>
        <v>1.0714285714285714</v>
      </c>
      <c r="AU245" s="5">
        <f t="shared" si="440"/>
        <v>1.792235561072107</v>
      </c>
      <c r="AV245" s="5"/>
      <c r="AW245" s="153">
        <f t="shared" si="441"/>
        <v>0.37414603174603178</v>
      </c>
      <c r="AX245" s="153"/>
      <c r="BA245" s="147">
        <f t="shared" si="433"/>
        <v>5.8677073027355267</v>
      </c>
      <c r="BB245" s="147">
        <f t="shared" si="434"/>
        <v>1.445576000680272</v>
      </c>
      <c r="BC245" s="5">
        <f t="shared" ref="BC245:BC308" si="442">H245/Efficiency/I245*AU245/Vinripple1</f>
        <v>5.4999821450890052E-2</v>
      </c>
      <c r="BD245" s="147">
        <f t="shared" si="435"/>
        <v>0</v>
      </c>
      <c r="BQ245" s="463">
        <f t="shared" si="436"/>
        <v>1.1077999999999999E-2</v>
      </c>
      <c r="CG245" s="59">
        <f t="shared" si="437"/>
        <v>-50</v>
      </c>
      <c r="CH245">
        <f t="shared" si="438"/>
        <v>-50</v>
      </c>
    </row>
    <row r="246" spans="5:86" x14ac:dyDescent="0.25">
      <c r="E246" s="150">
        <v>30</v>
      </c>
      <c r="F246" s="191">
        <f t="shared" si="439"/>
        <v>0.03</v>
      </c>
      <c r="G246" s="191"/>
      <c r="H246" s="191">
        <f t="shared" si="404"/>
        <v>0.6</v>
      </c>
      <c r="I246" s="472">
        <f t="shared" si="405"/>
        <v>21</v>
      </c>
      <c r="J246" s="386">
        <f t="shared" si="406"/>
        <v>20.32</v>
      </c>
      <c r="K246" s="386">
        <f t="shared" si="407"/>
        <v>41.32</v>
      </c>
      <c r="L246" s="386"/>
      <c r="M246" s="191">
        <f t="shared" si="408"/>
        <v>0.49177153920619554</v>
      </c>
      <c r="N246" s="152">
        <f t="shared" si="409"/>
        <v>3.5049491965150041</v>
      </c>
      <c r="O246" s="152">
        <f t="shared" si="363"/>
        <v>0.6</v>
      </c>
      <c r="P246" s="191">
        <f t="shared" si="410"/>
        <v>0.17524745982575021</v>
      </c>
      <c r="Q246" s="191">
        <f t="shared" si="411"/>
        <v>20</v>
      </c>
      <c r="R246" s="191"/>
      <c r="S246" s="152">
        <f t="shared" si="412"/>
        <v>215.28116866221873</v>
      </c>
      <c r="T246" s="152">
        <f t="shared" si="413"/>
        <v>20</v>
      </c>
      <c r="U246" s="191">
        <f t="shared" si="414"/>
        <v>0.12910886139232594</v>
      </c>
      <c r="V246" s="191">
        <f t="shared" si="415"/>
        <v>0.92220615280232809</v>
      </c>
      <c r="W246" s="191">
        <f t="shared" si="416"/>
        <v>0.95306738232524058</v>
      </c>
      <c r="X246" s="175">
        <f t="shared" si="417"/>
        <v>350</v>
      </c>
      <c r="Y246" s="386">
        <f t="shared" si="418"/>
        <v>350</v>
      </c>
      <c r="AA246" s="191">
        <f t="shared" si="419"/>
        <v>0.19670861568247827</v>
      </c>
      <c r="AB246" s="153">
        <f t="shared" si="420"/>
        <v>1.4520813165537272</v>
      </c>
      <c r="AC246" s="153">
        <f t="shared" si="421"/>
        <v>4.9986458486592979E-2</v>
      </c>
      <c r="AD246" s="153"/>
      <c r="AE246" s="153">
        <f t="shared" si="422"/>
        <v>1.1072834645669289</v>
      </c>
      <c r="AF246" s="317">
        <f t="shared" si="423"/>
        <v>361.24444444444441</v>
      </c>
      <c r="AG246" s="463">
        <f t="shared" si="424"/>
        <v>2.9066190944881887E-2</v>
      </c>
      <c r="AI246" s="153">
        <f t="shared" si="425"/>
        <v>0.15239047589287574</v>
      </c>
      <c r="AJ246" s="153">
        <f t="shared" si="426"/>
        <v>0.15239047589287574</v>
      </c>
      <c r="AK246" s="153">
        <f t="shared" si="427"/>
        <v>1.2015936505952505</v>
      </c>
      <c r="AM246" s="317">
        <f t="shared" si="428"/>
        <v>30</v>
      </c>
      <c r="AN246" s="147">
        <f t="shared" si="429"/>
        <v>350</v>
      </c>
      <c r="AP246">
        <f t="shared" si="430"/>
        <v>30</v>
      </c>
      <c r="AQ246">
        <f t="shared" si="431"/>
        <v>350</v>
      </c>
      <c r="AS246" s="5">
        <f t="shared" si="364"/>
        <v>2.8571428571428572</v>
      </c>
      <c r="AT246" s="5">
        <f t="shared" si="432"/>
        <v>1.0885033992348268</v>
      </c>
      <c r="AU246" s="5">
        <f t="shared" si="440"/>
        <v>1.7686394579080305</v>
      </c>
      <c r="AV246" s="5"/>
      <c r="AW246" s="153">
        <f t="shared" si="441"/>
        <v>0.38097618973218933</v>
      </c>
      <c r="AX246" s="153"/>
      <c r="BA246" s="147">
        <f t="shared" si="433"/>
        <v>5.8677073027355267</v>
      </c>
      <c r="BB246" s="147">
        <f t="shared" si="434"/>
        <v>1.543886326530612</v>
      </c>
      <c r="BC246" s="5">
        <f t="shared" si="442"/>
        <v>5.6147284378032708E-2</v>
      </c>
      <c r="BD246" s="147">
        <f t="shared" si="435"/>
        <v>0</v>
      </c>
      <c r="BQ246" s="463">
        <f t="shared" si="436"/>
        <v>1.146E-2</v>
      </c>
      <c r="CG246" s="59">
        <f t="shared" si="437"/>
        <v>-50</v>
      </c>
      <c r="CH246">
        <f t="shared" si="438"/>
        <v>-50</v>
      </c>
    </row>
    <row r="247" spans="5:86" x14ac:dyDescent="0.25">
      <c r="E247" s="150">
        <v>31</v>
      </c>
      <c r="F247" s="191">
        <f t="shared" si="439"/>
        <v>3.1E-2</v>
      </c>
      <c r="G247" s="191"/>
      <c r="H247" s="191">
        <f t="shared" si="404"/>
        <v>0.62</v>
      </c>
      <c r="I247" s="472">
        <f t="shared" si="405"/>
        <v>21</v>
      </c>
      <c r="J247" s="386">
        <f t="shared" si="406"/>
        <v>20.32</v>
      </c>
      <c r="K247" s="386">
        <f t="shared" si="407"/>
        <v>41.32</v>
      </c>
      <c r="L247" s="386"/>
      <c r="M247" s="191">
        <f t="shared" si="408"/>
        <v>0.49177153920619554</v>
      </c>
      <c r="N247" s="152">
        <f t="shared" si="409"/>
        <v>3.5049491965150041</v>
      </c>
      <c r="O247" s="152">
        <f t="shared" si="363"/>
        <v>0.62</v>
      </c>
      <c r="P247" s="191">
        <f t="shared" si="410"/>
        <v>0.17524745982575021</v>
      </c>
      <c r="Q247" s="191">
        <f t="shared" si="411"/>
        <v>20</v>
      </c>
      <c r="R247" s="191"/>
      <c r="S247" s="152">
        <f t="shared" si="412"/>
        <v>207.66134284856247</v>
      </c>
      <c r="T247" s="152">
        <f t="shared" si="413"/>
        <v>20</v>
      </c>
      <c r="U247" s="191">
        <f t="shared" si="414"/>
        <v>0.13341249010540349</v>
      </c>
      <c r="V247" s="191">
        <f t="shared" si="415"/>
        <v>0.95294635789573923</v>
      </c>
      <c r="W247" s="191">
        <f t="shared" si="416"/>
        <v>0.98483629506941528</v>
      </c>
      <c r="X247" s="175">
        <f t="shared" si="417"/>
        <v>350</v>
      </c>
      <c r="Y247" s="386">
        <f t="shared" si="418"/>
        <v>350</v>
      </c>
      <c r="AA247" s="191">
        <f t="shared" si="419"/>
        <v>0.19670861568247827</v>
      </c>
      <c r="AB247" s="153">
        <f t="shared" si="420"/>
        <v>1.4520813165537272</v>
      </c>
      <c r="AC247" s="153">
        <f t="shared" si="421"/>
        <v>4.9986458486592979E-2</v>
      </c>
      <c r="AD247" s="153"/>
      <c r="AE247" s="153">
        <f t="shared" si="422"/>
        <v>1.1072834645669289</v>
      </c>
      <c r="AF247" s="317">
        <f t="shared" si="423"/>
        <v>373.28592592592594</v>
      </c>
      <c r="AG247" s="463">
        <f t="shared" si="424"/>
        <v>2.9066190944881887E-2</v>
      </c>
      <c r="AI247" s="153">
        <f t="shared" si="425"/>
        <v>0.15490949738783732</v>
      </c>
      <c r="AJ247" s="153">
        <f t="shared" si="426"/>
        <v>0.15490949738783732</v>
      </c>
      <c r="AK247" s="153">
        <f t="shared" si="427"/>
        <v>1.2032729982585582</v>
      </c>
      <c r="AM247" s="317">
        <f t="shared" si="428"/>
        <v>31</v>
      </c>
      <c r="AN247" s="147">
        <f t="shared" si="429"/>
        <v>350</v>
      </c>
      <c r="AP247">
        <f t="shared" si="430"/>
        <v>31</v>
      </c>
      <c r="AQ247">
        <f t="shared" si="431"/>
        <v>350</v>
      </c>
      <c r="AS247" s="5">
        <f t="shared" si="364"/>
        <v>2.8571428571428572</v>
      </c>
      <c r="AT247" s="5">
        <f t="shared" si="432"/>
        <v>1.1064964099131236</v>
      </c>
      <c r="AU247" s="5">
        <f t="shared" si="440"/>
        <v>1.7506464472297336</v>
      </c>
      <c r="AV247" s="5"/>
      <c r="AW247" s="153">
        <f t="shared" si="441"/>
        <v>0.38727374346959326</v>
      </c>
      <c r="AX247" s="153"/>
      <c r="BA247" s="147">
        <f t="shared" si="433"/>
        <v>5.8677073027355267</v>
      </c>
      <c r="BB247" s="147">
        <f t="shared" si="434"/>
        <v>1.6454275108843535</v>
      </c>
      <c r="BC247" s="5">
        <f t="shared" si="442"/>
        <v>5.7428613612827237E-2</v>
      </c>
      <c r="BD247" s="147">
        <f t="shared" si="435"/>
        <v>0</v>
      </c>
      <c r="BQ247" s="463">
        <f t="shared" si="436"/>
        <v>1.1842E-2</v>
      </c>
      <c r="CG247" s="59">
        <f t="shared" si="437"/>
        <v>-50</v>
      </c>
      <c r="CH247">
        <f t="shared" si="438"/>
        <v>-50</v>
      </c>
    </row>
    <row r="248" spans="5:86" x14ac:dyDescent="0.25">
      <c r="E248" s="150">
        <v>32</v>
      </c>
      <c r="F248" s="191">
        <f t="shared" si="439"/>
        <v>3.2000000000000001E-2</v>
      </c>
      <c r="G248" s="191"/>
      <c r="H248" s="191">
        <f t="shared" ref="H248:H279" si="443">F248*Vout</f>
        <v>0.64</v>
      </c>
      <c r="I248" s="472">
        <f t="shared" ref="I248:I279" si="444">VIN_max</f>
        <v>21</v>
      </c>
      <c r="J248" s="386">
        <f t="shared" ref="J248:J279" si="445">(T248+Vfwd1)*Nps</f>
        <v>20.32</v>
      </c>
      <c r="K248" s="386">
        <f t="shared" ref="K248:K279" si="446">(Vout+Vfwd1)*Nps+I248</f>
        <v>41.32</v>
      </c>
      <c r="L248" s="386"/>
      <c r="M248" s="191">
        <f t="shared" ref="M248:M279" si="447">(Vout+Vfwd1)*Nps/((Vout+Vfwd1)*Nps+I248)</f>
        <v>0.49177153920619554</v>
      </c>
      <c r="N248" s="152">
        <f t="shared" ref="N248:N279" si="448">M248*I248*(Isw_max+VIN_max/Lmag*ILIM_delay)*0.5*Efficiency</f>
        <v>3.5049491965150041</v>
      </c>
      <c r="O248" s="152">
        <f t="shared" si="363"/>
        <v>0.64</v>
      </c>
      <c r="P248" s="191">
        <f t="shared" ref="P248:P279" si="449">N248/Vout</f>
        <v>0.17524745982575021</v>
      </c>
      <c r="Q248" s="191">
        <f t="shared" ref="Q248:Q279" si="450">MIN(Vout,N248/F248)</f>
        <v>20</v>
      </c>
      <c r="R248" s="191"/>
      <c r="S248" s="152">
        <f t="shared" ref="S248:S279" si="451">(SQRT(Isw_max^2*Nps^2*I248^2+4*Isw_max*F248/Efficiency*(Nps^2*Vfwd1*I248-Nps*I248^2)+4*(F248/Efficiency)^2*Nps^2*Vfwd1^2+8*(F248/Efficiency)^2*Nps*Vfwd1*I248+4*(F248/Efficiency)^2*I248^2)-2*F248/Efficiency*I248-2*F248/Efficiency*Nps*Vfwd1+Isw_max*Nps*I248)/(4*F248/Efficiency*Nps)</f>
        <v>200.51783483094101</v>
      </c>
      <c r="T248" s="152">
        <f t="shared" ref="T248:T279" si="452">MIN(Vout, S248)</f>
        <v>20</v>
      </c>
      <c r="U248" s="191">
        <f t="shared" ref="U248:U279" si="453">MIN(2*Vout*F248/(Efficiency*I248*M248), Isw_max)</f>
        <v>0.137716118818481</v>
      </c>
      <c r="V248" s="191">
        <f t="shared" ref="V248:V279" si="454">L*U248/I248*1000000</f>
        <v>0.98368656298915003</v>
      </c>
      <c r="W248" s="191">
        <f t="shared" ref="W248:W279" si="455">L*U248/J248*1000000</f>
        <v>1.0166052078135899</v>
      </c>
      <c r="X248" s="175">
        <f t="shared" ref="X248:X279" si="456">IF(1/((350000*L)*(1/I248+1/J248))&gt;Isw_min, 350, 0.001/((Isw_min*L)*(1/I248+1/J248)))</f>
        <v>350</v>
      </c>
      <c r="Y248" s="386">
        <f t="shared" si="418"/>
        <v>350</v>
      </c>
      <c r="AA248" s="191">
        <f t="shared" ref="AA248:AA279" si="457">1/((X248*1000*L)*(1/I248+1/J248))</f>
        <v>0.19670861568247827</v>
      </c>
      <c r="AB248" s="153">
        <f t="shared" ref="AB248:AB279" si="458">L*AA248/J248*1000000</f>
        <v>1.4520813165537272</v>
      </c>
      <c r="AC248" s="153">
        <f t="shared" ref="AC248:AC279" si="459">0.5*AB248*AA248*Nps*X248/1000</f>
        <v>4.9986458486592979E-2</v>
      </c>
      <c r="AD248" s="153"/>
      <c r="AE248" s="153">
        <f t="shared" ref="AE248:AE279" si="460">L*Isw_min/J248*1000000</f>
        <v>1.1072834645669289</v>
      </c>
      <c r="AF248" s="317">
        <f t="shared" ref="AF248:AF279" si="461">MAX(12000,F248/(0.5*AE248/1000000*Isw_min*Nps))/1000</f>
        <v>385.32740740740741</v>
      </c>
      <c r="AG248" s="463">
        <f t="shared" ref="AG248:AG279" si="462">0.5*AE248/1000000*Isw_min*Nps*X248*1000</f>
        <v>2.9066190944881887E-2</v>
      </c>
      <c r="AI248" s="153">
        <f t="shared" ref="AI248:AI279" si="463">SQRT(F248/(0.5*L/J248*Fsw_DCM*Nps))</f>
        <v>0.15738820673432816</v>
      </c>
      <c r="AJ248" s="153">
        <f t="shared" ref="AJ248:AJ279" si="464">MAX(IF(F248&gt;AC248,U248,AI248),Isw_min)</f>
        <v>0.15738820673432816</v>
      </c>
      <c r="AK248" s="153">
        <f t="shared" ref="AK248:AK279" si="465">IF(F248&gt;AG248, (AJ248-Isw_min)/1.2*0.8+1.2, AF248*0.2/350+1)</f>
        <v>1.2049254711562187</v>
      </c>
      <c r="AM248" s="317">
        <f t="shared" ref="AM248:AM279" si="466">F248*1000</f>
        <v>32</v>
      </c>
      <c r="AN248" s="147">
        <f t="shared" ref="AN248:AN279" si="467">IF(F248&gt;AG248, Y248, AF248)</f>
        <v>350</v>
      </c>
      <c r="AP248">
        <f t="shared" ref="AP248:AP279" si="468">IF(H248&gt;N248, "",AM248)</f>
        <v>32</v>
      </c>
      <c r="AQ248">
        <f t="shared" ref="AQ248:AQ279" si="469">IF(H248&gt;N248, "",AN248)</f>
        <v>350</v>
      </c>
      <c r="AS248" s="5">
        <f t="shared" si="364"/>
        <v>2.8571428571428572</v>
      </c>
      <c r="AT248" s="5">
        <f t="shared" ref="AT248:AT279" si="470">L*AJ248/I248*1000000</f>
        <v>1.1242014766737725</v>
      </c>
      <c r="AU248" s="5">
        <f t="shared" si="440"/>
        <v>1.7329413804690847</v>
      </c>
      <c r="AV248" s="5"/>
      <c r="AW248" s="153">
        <f t="shared" si="441"/>
        <v>0.39347051683582035</v>
      </c>
      <c r="AX248" s="153"/>
      <c r="BA248" s="147">
        <f t="shared" ref="BA248:BA279" si="471">L*Isw_max^2/(2*Vout_ripple*Vout)*1000000000*((1+M248)/2)^2</f>
        <v>5.8677073027355267</v>
      </c>
      <c r="BB248" s="147">
        <f t="shared" ref="BB248:BB279" si="472">L*F248^2/(2*Cout*Vout*Nps^2)*1000000000*((1+M248)/(1-M248))^2+F248*RCoutEsr</f>
        <v>1.7501995537414963</v>
      </c>
      <c r="BC248" s="5">
        <f t="shared" si="442"/>
        <v>5.8681612883609222E-2</v>
      </c>
      <c r="BD248" s="147">
        <f t="shared" ref="BD248:BD279" si="473">((CB248/I248/Efficiency)*AU248/Cin+(CB248/I248/Efficiency)*RCinEsr)*1000</f>
        <v>0</v>
      </c>
      <c r="BQ248" s="463">
        <f t="shared" ref="BQ248:BQ279" si="474">(Vfwd2*F248+BG248^2*Rdiode)*(1+Diode_TC/1000*(Ta-25))</f>
        <v>1.2224E-2</v>
      </c>
      <c r="CG248" s="59">
        <f t="shared" ref="CG248:CG279" si="475">IF(ABS(F248-Ioutmax_Vinmax)&lt;Iout/200, AN248, -50)</f>
        <v>-50</v>
      </c>
      <c r="CH248">
        <f t="shared" ref="CH248:CH279" si="476">IF(ABS(F248-Ioutmax_Vinmin)&lt;Iout/200, N248*CC248, -50)</f>
        <v>-50</v>
      </c>
    </row>
    <row r="249" spans="5:86" x14ac:dyDescent="0.25">
      <c r="E249" s="150">
        <v>33</v>
      </c>
      <c r="F249" s="191">
        <f t="shared" ref="F249:F280" si="477">IF(PLOT_TYPE=1, E249/100*Iout_max, min_I*EXP(N249*rr/100))</f>
        <v>3.3000000000000002E-2</v>
      </c>
      <c r="G249" s="191"/>
      <c r="H249" s="191">
        <f t="shared" si="443"/>
        <v>0.66</v>
      </c>
      <c r="I249" s="472">
        <f t="shared" si="444"/>
        <v>21</v>
      </c>
      <c r="J249" s="386">
        <f t="shared" si="445"/>
        <v>20.32</v>
      </c>
      <c r="K249" s="386">
        <f t="shared" si="446"/>
        <v>41.32</v>
      </c>
      <c r="L249" s="386"/>
      <c r="M249" s="191">
        <f t="shared" si="447"/>
        <v>0.49177153920619554</v>
      </c>
      <c r="N249" s="152">
        <f t="shared" si="448"/>
        <v>3.5049491965150041</v>
      </c>
      <c r="O249" s="152">
        <f t="shared" si="363"/>
        <v>0.66</v>
      </c>
      <c r="P249" s="191">
        <f t="shared" si="449"/>
        <v>0.17524745982575021</v>
      </c>
      <c r="Q249" s="191">
        <f t="shared" si="450"/>
        <v>20</v>
      </c>
      <c r="R249" s="191"/>
      <c r="S249" s="152">
        <f t="shared" si="451"/>
        <v>193.80734372536622</v>
      </c>
      <c r="T249" s="152">
        <f t="shared" si="452"/>
        <v>20</v>
      </c>
      <c r="U249" s="191">
        <f t="shared" si="453"/>
        <v>0.14201974753155855</v>
      </c>
      <c r="V249" s="191">
        <f t="shared" si="454"/>
        <v>1.0144267680825609</v>
      </c>
      <c r="W249" s="191">
        <f t="shared" si="455"/>
        <v>1.0483741205577648</v>
      </c>
      <c r="X249" s="175">
        <f t="shared" si="456"/>
        <v>350</v>
      </c>
      <c r="Y249" s="386">
        <f t="shared" si="418"/>
        <v>350</v>
      </c>
      <c r="AA249" s="191">
        <f t="shared" si="457"/>
        <v>0.19670861568247827</v>
      </c>
      <c r="AB249" s="153">
        <f t="shared" si="458"/>
        <v>1.4520813165537272</v>
      </c>
      <c r="AC249" s="153">
        <f t="shared" si="459"/>
        <v>4.9986458486592979E-2</v>
      </c>
      <c r="AD249" s="153"/>
      <c r="AE249" s="153">
        <f t="shared" si="460"/>
        <v>1.1072834645669289</v>
      </c>
      <c r="AF249" s="317">
        <f t="shared" si="461"/>
        <v>397.36888888888893</v>
      </c>
      <c r="AG249" s="463">
        <f t="shared" si="462"/>
        <v>2.9066190944881887E-2</v>
      </c>
      <c r="AI249" s="153">
        <f t="shared" si="463"/>
        <v>0.15982847949330828</v>
      </c>
      <c r="AJ249" s="153">
        <f t="shared" si="464"/>
        <v>0.15982847949330828</v>
      </c>
      <c r="AK249" s="153">
        <f t="shared" si="465"/>
        <v>1.2065523196622054</v>
      </c>
      <c r="AM249" s="317">
        <f t="shared" si="466"/>
        <v>33</v>
      </c>
      <c r="AN249" s="147">
        <f t="shared" si="467"/>
        <v>350</v>
      </c>
      <c r="AP249">
        <f t="shared" si="468"/>
        <v>33</v>
      </c>
      <c r="AQ249">
        <f t="shared" si="469"/>
        <v>350</v>
      </c>
      <c r="AS249" s="5">
        <f t="shared" si="364"/>
        <v>2.8571428571428572</v>
      </c>
      <c r="AT249" s="5">
        <f t="shared" si="470"/>
        <v>1.1416319963807733</v>
      </c>
      <c r="AU249" s="5">
        <f t="shared" si="440"/>
        <v>1.7155108607620839</v>
      </c>
      <c r="AV249" s="5"/>
      <c r="AW249" s="153">
        <f t="shared" si="441"/>
        <v>0.39957119873327063</v>
      </c>
      <c r="AX249" s="153"/>
      <c r="BA249" s="147">
        <f t="shared" si="471"/>
        <v>5.8677073027355267</v>
      </c>
      <c r="BB249" s="147">
        <f t="shared" si="472"/>
        <v>1.8582024551020411</v>
      </c>
      <c r="BC249" s="5">
        <f t="shared" si="442"/>
        <v>5.9906728471056901E-2</v>
      </c>
      <c r="BD249" s="147">
        <f t="shared" si="473"/>
        <v>0</v>
      </c>
      <c r="BQ249" s="463">
        <f t="shared" si="474"/>
        <v>1.2606000000000001E-2</v>
      </c>
      <c r="CG249" s="59">
        <f t="shared" si="475"/>
        <v>-50</v>
      </c>
      <c r="CH249">
        <f t="shared" si="476"/>
        <v>-50</v>
      </c>
    </row>
    <row r="250" spans="5:86" x14ac:dyDescent="0.25">
      <c r="E250" s="150">
        <v>34</v>
      </c>
      <c r="F250" s="191">
        <f t="shared" si="477"/>
        <v>3.4000000000000002E-2</v>
      </c>
      <c r="G250" s="191"/>
      <c r="H250" s="191">
        <f t="shared" si="443"/>
        <v>0.68</v>
      </c>
      <c r="I250" s="472">
        <f t="shared" si="444"/>
        <v>21</v>
      </c>
      <c r="J250" s="386">
        <f t="shared" si="445"/>
        <v>20.32</v>
      </c>
      <c r="K250" s="386">
        <f t="shared" si="446"/>
        <v>41.32</v>
      </c>
      <c r="L250" s="386"/>
      <c r="M250" s="191">
        <f t="shared" si="447"/>
        <v>0.49177153920619554</v>
      </c>
      <c r="N250" s="152">
        <f t="shared" si="448"/>
        <v>3.5049491965150041</v>
      </c>
      <c r="O250" s="152">
        <f t="shared" si="363"/>
        <v>0.68</v>
      </c>
      <c r="P250" s="191">
        <f t="shared" si="449"/>
        <v>0.17524745982575021</v>
      </c>
      <c r="Q250" s="191">
        <f t="shared" si="450"/>
        <v>20</v>
      </c>
      <c r="R250" s="191"/>
      <c r="S250" s="152">
        <f t="shared" si="451"/>
        <v>187.49166287847942</v>
      </c>
      <c r="T250" s="152">
        <f t="shared" si="452"/>
        <v>20</v>
      </c>
      <c r="U250" s="191">
        <f t="shared" si="453"/>
        <v>0.14632337624463609</v>
      </c>
      <c r="V250" s="191">
        <f t="shared" si="454"/>
        <v>1.0451669731759721</v>
      </c>
      <c r="W250" s="191">
        <f t="shared" si="455"/>
        <v>1.0801430333019397</v>
      </c>
      <c r="X250" s="175">
        <f t="shared" si="456"/>
        <v>350</v>
      </c>
      <c r="Y250" s="386">
        <f t="shared" si="418"/>
        <v>350</v>
      </c>
      <c r="AA250" s="191">
        <f t="shared" si="457"/>
        <v>0.19670861568247827</v>
      </c>
      <c r="AB250" s="153">
        <f t="shared" si="458"/>
        <v>1.4520813165537272</v>
      </c>
      <c r="AC250" s="153">
        <f t="shared" si="459"/>
        <v>4.9986458486592979E-2</v>
      </c>
      <c r="AD250" s="153"/>
      <c r="AE250" s="153">
        <f t="shared" si="460"/>
        <v>1.1072834645669289</v>
      </c>
      <c r="AF250" s="317">
        <f t="shared" si="461"/>
        <v>409.41037037037046</v>
      </c>
      <c r="AG250" s="463">
        <f t="shared" si="462"/>
        <v>2.9066190944881887E-2</v>
      </c>
      <c r="AI250" s="153">
        <f t="shared" si="463"/>
        <v>0.16223205014804595</v>
      </c>
      <c r="AJ250" s="153">
        <f t="shared" si="464"/>
        <v>0.16223205014804595</v>
      </c>
      <c r="AK250" s="153">
        <f t="shared" si="465"/>
        <v>1.2081547000986972</v>
      </c>
      <c r="AM250" s="317">
        <f t="shared" si="466"/>
        <v>34</v>
      </c>
      <c r="AN250" s="147">
        <f t="shared" si="467"/>
        <v>350</v>
      </c>
      <c r="AP250">
        <f t="shared" si="468"/>
        <v>34</v>
      </c>
      <c r="AQ250">
        <f t="shared" si="469"/>
        <v>350</v>
      </c>
      <c r="AS250" s="5">
        <f t="shared" si="364"/>
        <v>2.8571428571428572</v>
      </c>
      <c r="AT250" s="5">
        <f t="shared" si="470"/>
        <v>1.1588003582003279</v>
      </c>
      <c r="AU250" s="5">
        <f t="shared" si="440"/>
        <v>1.6983424989425293</v>
      </c>
      <c r="AV250" s="5"/>
      <c r="AW250" s="153">
        <f t="shared" si="441"/>
        <v>0.40558012537011473</v>
      </c>
      <c r="AX250" s="153"/>
      <c r="BA250" s="147">
        <f t="shared" si="471"/>
        <v>5.8677073027355267</v>
      </c>
      <c r="BB250" s="147">
        <f t="shared" si="472"/>
        <v>1.9694362149659865</v>
      </c>
      <c r="BC250" s="5">
        <f t="shared" si="442"/>
        <v>6.1104386205339679E-2</v>
      </c>
      <c r="BD250" s="147">
        <f t="shared" si="473"/>
        <v>0</v>
      </c>
      <c r="BQ250" s="463">
        <f t="shared" si="474"/>
        <v>1.2988E-2</v>
      </c>
      <c r="CG250" s="59">
        <f t="shared" si="475"/>
        <v>-50</v>
      </c>
      <c r="CH250">
        <f t="shared" si="476"/>
        <v>-50</v>
      </c>
    </row>
    <row r="251" spans="5:86" x14ac:dyDescent="0.25">
      <c r="E251" s="150">
        <v>35</v>
      </c>
      <c r="F251" s="191">
        <f t="shared" si="477"/>
        <v>3.4999999999999996E-2</v>
      </c>
      <c r="G251" s="191"/>
      <c r="H251" s="191">
        <f t="shared" si="443"/>
        <v>0.7</v>
      </c>
      <c r="I251" s="472">
        <f t="shared" si="444"/>
        <v>21</v>
      </c>
      <c r="J251" s="386">
        <f t="shared" si="445"/>
        <v>20.32</v>
      </c>
      <c r="K251" s="386">
        <f t="shared" si="446"/>
        <v>41.32</v>
      </c>
      <c r="L251" s="386"/>
      <c r="M251" s="191">
        <f t="shared" si="447"/>
        <v>0.49177153920619554</v>
      </c>
      <c r="N251" s="152">
        <f t="shared" si="448"/>
        <v>3.5049491965150041</v>
      </c>
      <c r="O251" s="152">
        <f t="shared" si="363"/>
        <v>0.7</v>
      </c>
      <c r="P251" s="191">
        <f t="shared" si="449"/>
        <v>0.17524745982575021</v>
      </c>
      <c r="Q251" s="191">
        <f t="shared" si="450"/>
        <v>20</v>
      </c>
      <c r="R251" s="191"/>
      <c r="S251" s="152">
        <f t="shared" si="451"/>
        <v>181.53695212045321</v>
      </c>
      <c r="T251" s="152">
        <f t="shared" si="452"/>
        <v>20</v>
      </c>
      <c r="U251" s="191">
        <f t="shared" si="453"/>
        <v>0.15062700495771361</v>
      </c>
      <c r="V251" s="191">
        <f t="shared" si="454"/>
        <v>1.075907178269383</v>
      </c>
      <c r="W251" s="191">
        <f t="shared" si="455"/>
        <v>1.1119119460461142</v>
      </c>
      <c r="X251" s="175">
        <f t="shared" si="456"/>
        <v>350</v>
      </c>
      <c r="Y251" s="386">
        <f t="shared" si="418"/>
        <v>350</v>
      </c>
      <c r="AA251" s="191">
        <f t="shared" si="457"/>
        <v>0.19670861568247827</v>
      </c>
      <c r="AB251" s="153">
        <f t="shared" si="458"/>
        <v>1.4520813165537272</v>
      </c>
      <c r="AC251" s="153">
        <f t="shared" si="459"/>
        <v>4.9986458486592979E-2</v>
      </c>
      <c r="AD251" s="153"/>
      <c r="AE251" s="153">
        <f t="shared" si="460"/>
        <v>1.1072834645669289</v>
      </c>
      <c r="AF251" s="317">
        <f t="shared" si="461"/>
        <v>421.45185185185187</v>
      </c>
      <c r="AG251" s="463">
        <f t="shared" si="462"/>
        <v>2.9066190944881887E-2</v>
      </c>
      <c r="AI251" s="153">
        <f t="shared" si="463"/>
        <v>0.16460052652811696</v>
      </c>
      <c r="AJ251" s="153">
        <f t="shared" si="464"/>
        <v>0.16460052652811696</v>
      </c>
      <c r="AK251" s="153">
        <f t="shared" si="465"/>
        <v>1.2097336843520778</v>
      </c>
      <c r="AM251" s="317">
        <f t="shared" si="466"/>
        <v>34.999999999999993</v>
      </c>
      <c r="AN251" s="147">
        <f t="shared" si="467"/>
        <v>350</v>
      </c>
      <c r="AP251">
        <f t="shared" si="468"/>
        <v>34.999999999999993</v>
      </c>
      <c r="AQ251">
        <f t="shared" si="469"/>
        <v>350</v>
      </c>
      <c r="AS251" s="5">
        <f t="shared" si="364"/>
        <v>2.8571428571428572</v>
      </c>
      <c r="AT251" s="5">
        <f t="shared" si="470"/>
        <v>1.175718046629407</v>
      </c>
      <c r="AU251" s="5">
        <f t="shared" si="440"/>
        <v>1.6814248105134502</v>
      </c>
      <c r="AV251" s="5"/>
      <c r="AW251" s="153">
        <f t="shared" si="441"/>
        <v>0.41150131632029247</v>
      </c>
      <c r="AX251" s="153"/>
      <c r="BA251" s="147">
        <f t="shared" si="471"/>
        <v>5.8677073027355267</v>
      </c>
      <c r="BB251" s="147">
        <f t="shared" si="472"/>
        <v>2.0839008333333329</v>
      </c>
      <c r="BC251" s="5">
        <f t="shared" si="442"/>
        <v>6.2274992981979631E-2</v>
      </c>
      <c r="BD251" s="147">
        <f t="shared" si="473"/>
        <v>0</v>
      </c>
      <c r="BQ251" s="463">
        <f t="shared" si="474"/>
        <v>1.3369999999999998E-2</v>
      </c>
      <c r="CG251" s="59">
        <f t="shared" si="475"/>
        <v>-50</v>
      </c>
      <c r="CH251">
        <f t="shared" si="476"/>
        <v>-50</v>
      </c>
    </row>
    <row r="252" spans="5:86" x14ac:dyDescent="0.25">
      <c r="E252" s="150">
        <v>36</v>
      </c>
      <c r="F252" s="191">
        <f t="shared" si="477"/>
        <v>3.5999999999999997E-2</v>
      </c>
      <c r="G252" s="191"/>
      <c r="H252" s="191">
        <f t="shared" si="443"/>
        <v>0.72</v>
      </c>
      <c r="I252" s="472">
        <f t="shared" si="444"/>
        <v>21</v>
      </c>
      <c r="J252" s="386">
        <f t="shared" si="445"/>
        <v>20.32</v>
      </c>
      <c r="K252" s="386">
        <f t="shared" si="446"/>
        <v>41.32</v>
      </c>
      <c r="L252" s="386"/>
      <c r="M252" s="191">
        <f t="shared" si="447"/>
        <v>0.49177153920619554</v>
      </c>
      <c r="N252" s="152">
        <f t="shared" si="448"/>
        <v>3.5049491965150041</v>
      </c>
      <c r="O252" s="152">
        <f t="shared" si="363"/>
        <v>0.72</v>
      </c>
      <c r="P252" s="191">
        <f t="shared" si="449"/>
        <v>0.17524745982575021</v>
      </c>
      <c r="Q252" s="191">
        <f t="shared" si="450"/>
        <v>20</v>
      </c>
      <c r="R252" s="191"/>
      <c r="S252" s="152">
        <f t="shared" si="451"/>
        <v>175.91313130907955</v>
      </c>
      <c r="T252" s="152">
        <f t="shared" si="452"/>
        <v>20</v>
      </c>
      <c r="U252" s="191">
        <f t="shared" si="453"/>
        <v>0.15493063367079113</v>
      </c>
      <c r="V252" s="191">
        <f t="shared" si="454"/>
        <v>1.1066473833627937</v>
      </c>
      <c r="W252" s="191">
        <f t="shared" si="455"/>
        <v>1.1436808587902887</v>
      </c>
      <c r="X252" s="175">
        <f t="shared" si="456"/>
        <v>350</v>
      </c>
      <c r="Y252" s="386">
        <f t="shared" si="418"/>
        <v>350</v>
      </c>
      <c r="AA252" s="191">
        <f t="shared" si="457"/>
        <v>0.19670861568247827</v>
      </c>
      <c r="AB252" s="153">
        <f t="shared" si="458"/>
        <v>1.4520813165537272</v>
      </c>
      <c r="AC252" s="153">
        <f t="shared" si="459"/>
        <v>4.9986458486592979E-2</v>
      </c>
      <c r="AD252" s="153"/>
      <c r="AE252" s="153">
        <f t="shared" si="460"/>
        <v>1.1072834645669289</v>
      </c>
      <c r="AF252" s="317">
        <f t="shared" si="461"/>
        <v>433.49333333333334</v>
      </c>
      <c r="AG252" s="463">
        <f t="shared" si="462"/>
        <v>2.9066190944881887E-2</v>
      </c>
      <c r="AI252" s="153">
        <f t="shared" si="463"/>
        <v>0.16693540239095053</v>
      </c>
      <c r="AJ252" s="153">
        <f t="shared" si="464"/>
        <v>0.16693540239095053</v>
      </c>
      <c r="AK252" s="153">
        <f t="shared" si="465"/>
        <v>1.2112902682606337</v>
      </c>
      <c r="AM252" s="317">
        <f t="shared" si="466"/>
        <v>36</v>
      </c>
      <c r="AN252" s="147">
        <f t="shared" si="467"/>
        <v>350</v>
      </c>
      <c r="AP252">
        <f t="shared" si="468"/>
        <v>36</v>
      </c>
      <c r="AQ252">
        <f t="shared" si="469"/>
        <v>350</v>
      </c>
      <c r="AS252" s="5">
        <f t="shared" si="364"/>
        <v>2.8571428571428572</v>
      </c>
      <c r="AT252" s="5">
        <f t="shared" si="470"/>
        <v>1.1923957313639322</v>
      </c>
      <c r="AU252" s="5">
        <f t="shared" si="440"/>
        <v>1.664747125778925</v>
      </c>
      <c r="AV252" s="5"/>
      <c r="AW252" s="153">
        <f t="shared" si="441"/>
        <v>0.41733850597737626</v>
      </c>
      <c r="AX252" s="153"/>
      <c r="BA252" s="147">
        <f t="shared" si="471"/>
        <v>5.8677073027355267</v>
      </c>
      <c r="BB252" s="147">
        <f t="shared" si="472"/>
        <v>2.2015963102040814</v>
      </c>
      <c r="BC252" s="5">
        <f t="shared" si="442"/>
        <v>6.3418938124911423E-2</v>
      </c>
      <c r="BD252" s="147">
        <f t="shared" si="473"/>
        <v>0</v>
      </c>
      <c r="BQ252" s="463">
        <f t="shared" si="474"/>
        <v>1.3751999999999999E-2</v>
      </c>
      <c r="CG252" s="59">
        <f t="shared" si="475"/>
        <v>-50</v>
      </c>
      <c r="CH252">
        <f t="shared" si="476"/>
        <v>-50</v>
      </c>
    </row>
    <row r="253" spans="5:86" x14ac:dyDescent="0.25">
      <c r="E253" s="150">
        <v>37</v>
      </c>
      <c r="F253" s="191">
        <f t="shared" si="477"/>
        <v>3.6999999999999998E-2</v>
      </c>
      <c r="G253" s="191"/>
      <c r="H253" s="191">
        <f t="shared" si="443"/>
        <v>0.74</v>
      </c>
      <c r="I253" s="472">
        <f t="shared" si="444"/>
        <v>21</v>
      </c>
      <c r="J253" s="386">
        <f t="shared" si="445"/>
        <v>20.32</v>
      </c>
      <c r="K253" s="386">
        <f t="shared" si="446"/>
        <v>41.32</v>
      </c>
      <c r="L253" s="386"/>
      <c r="M253" s="191">
        <f t="shared" si="447"/>
        <v>0.49177153920619554</v>
      </c>
      <c r="N253" s="152">
        <f t="shared" si="448"/>
        <v>3.5049491965150041</v>
      </c>
      <c r="O253" s="152">
        <f t="shared" si="363"/>
        <v>0.74</v>
      </c>
      <c r="P253" s="191">
        <f t="shared" si="449"/>
        <v>0.17524745982575021</v>
      </c>
      <c r="Q253" s="191">
        <f t="shared" si="450"/>
        <v>20</v>
      </c>
      <c r="R253" s="191"/>
      <c r="S253" s="152">
        <f t="shared" si="451"/>
        <v>170.59337221806192</v>
      </c>
      <c r="T253" s="152">
        <f t="shared" si="452"/>
        <v>20</v>
      </c>
      <c r="U253" s="191">
        <f t="shared" si="453"/>
        <v>0.15923426238386867</v>
      </c>
      <c r="V253" s="191">
        <f t="shared" si="454"/>
        <v>1.1373875884562048</v>
      </c>
      <c r="W253" s="191">
        <f t="shared" si="455"/>
        <v>1.1754497715344634</v>
      </c>
      <c r="X253" s="175">
        <f t="shared" si="456"/>
        <v>350</v>
      </c>
      <c r="Y253" s="386">
        <f t="shared" si="418"/>
        <v>350</v>
      </c>
      <c r="AA253" s="191">
        <f t="shared" si="457"/>
        <v>0.19670861568247827</v>
      </c>
      <c r="AB253" s="153">
        <f t="shared" si="458"/>
        <v>1.4520813165537272</v>
      </c>
      <c r="AC253" s="153">
        <f t="shared" si="459"/>
        <v>4.9986458486592979E-2</v>
      </c>
      <c r="AD253" s="153"/>
      <c r="AE253" s="153">
        <f t="shared" si="460"/>
        <v>1.1072834645669289</v>
      </c>
      <c r="AF253" s="317">
        <f t="shared" si="461"/>
        <v>445.53481481481481</v>
      </c>
      <c r="AG253" s="463">
        <f t="shared" si="462"/>
        <v>2.9066190944881887E-2</v>
      </c>
      <c r="AI253" s="153">
        <f t="shared" si="463"/>
        <v>0.16923806844065495</v>
      </c>
      <c r="AJ253" s="153">
        <f t="shared" si="464"/>
        <v>0.16923806844065495</v>
      </c>
      <c r="AK253" s="153">
        <f t="shared" si="465"/>
        <v>1.2128253789604366</v>
      </c>
      <c r="AM253" s="317">
        <f t="shared" si="466"/>
        <v>37</v>
      </c>
      <c r="AN253" s="147">
        <f t="shared" si="467"/>
        <v>350</v>
      </c>
      <c r="AP253">
        <f t="shared" si="468"/>
        <v>37</v>
      </c>
      <c r="AQ253">
        <f t="shared" si="469"/>
        <v>350</v>
      </c>
      <c r="AS253" s="5">
        <f t="shared" si="364"/>
        <v>2.8571428571428572</v>
      </c>
      <c r="AT253" s="5">
        <f t="shared" si="470"/>
        <v>1.2088433460046781</v>
      </c>
      <c r="AU253" s="5">
        <f t="shared" si="440"/>
        <v>1.6482995111381791</v>
      </c>
      <c r="AV253" s="5"/>
      <c r="AW253" s="153">
        <f t="shared" si="441"/>
        <v>0.42309517110163736</v>
      </c>
      <c r="AX253" s="153"/>
      <c r="BA253" s="147">
        <f t="shared" si="471"/>
        <v>5.8677073027355267</v>
      </c>
      <c r="BB253" s="147">
        <f t="shared" si="472"/>
        <v>2.3225226455782311</v>
      </c>
      <c r="BC253" s="5">
        <f t="shared" si="442"/>
        <v>6.453659461599219E-2</v>
      </c>
      <c r="BD253" s="147">
        <f t="shared" si="473"/>
        <v>0</v>
      </c>
      <c r="BQ253" s="463">
        <f t="shared" si="474"/>
        <v>1.4134000000000001E-2</v>
      </c>
      <c r="CG253" s="59">
        <f t="shared" si="475"/>
        <v>-50</v>
      </c>
      <c r="CH253">
        <f t="shared" si="476"/>
        <v>-50</v>
      </c>
    </row>
    <row r="254" spans="5:86" x14ac:dyDescent="0.25">
      <c r="E254" s="150">
        <v>38</v>
      </c>
      <c r="F254" s="191">
        <f t="shared" si="477"/>
        <v>3.8000000000000006E-2</v>
      </c>
      <c r="G254" s="191"/>
      <c r="H254" s="191">
        <f t="shared" si="443"/>
        <v>0.76000000000000012</v>
      </c>
      <c r="I254" s="472">
        <f t="shared" si="444"/>
        <v>21</v>
      </c>
      <c r="J254" s="386">
        <f t="shared" si="445"/>
        <v>20.32</v>
      </c>
      <c r="K254" s="386">
        <f t="shared" si="446"/>
        <v>41.32</v>
      </c>
      <c r="L254" s="386"/>
      <c r="M254" s="191">
        <f t="shared" si="447"/>
        <v>0.49177153920619554</v>
      </c>
      <c r="N254" s="152">
        <f t="shared" si="448"/>
        <v>3.5049491965150041</v>
      </c>
      <c r="O254" s="152">
        <f t="shared" si="363"/>
        <v>0.76000000000000012</v>
      </c>
      <c r="P254" s="191">
        <f t="shared" si="449"/>
        <v>0.17524745982575021</v>
      </c>
      <c r="Q254" s="191">
        <f t="shared" si="450"/>
        <v>20</v>
      </c>
      <c r="R254" s="191"/>
      <c r="S254" s="152">
        <f t="shared" si="451"/>
        <v>165.55367065347377</v>
      </c>
      <c r="T254" s="152">
        <f t="shared" si="452"/>
        <v>20</v>
      </c>
      <c r="U254" s="191">
        <f t="shared" si="453"/>
        <v>0.16353789109694622</v>
      </c>
      <c r="V254" s="191">
        <f t="shared" si="454"/>
        <v>1.1681277935496157</v>
      </c>
      <c r="W254" s="191">
        <f t="shared" si="455"/>
        <v>1.2072186842786383</v>
      </c>
      <c r="X254" s="175">
        <f t="shared" si="456"/>
        <v>350</v>
      </c>
      <c r="Y254" s="386">
        <f t="shared" si="418"/>
        <v>350</v>
      </c>
      <c r="AA254" s="191">
        <f t="shared" si="457"/>
        <v>0.19670861568247827</v>
      </c>
      <c r="AB254" s="153">
        <f t="shared" si="458"/>
        <v>1.4520813165537272</v>
      </c>
      <c r="AC254" s="153">
        <f t="shared" si="459"/>
        <v>4.9986458486592979E-2</v>
      </c>
      <c r="AD254" s="153"/>
      <c r="AE254" s="153">
        <f t="shared" si="460"/>
        <v>1.1072834645669289</v>
      </c>
      <c r="AF254" s="317">
        <f t="shared" si="461"/>
        <v>457.57629629629639</v>
      </c>
      <c r="AG254" s="463">
        <f t="shared" si="462"/>
        <v>2.9066190944881887E-2</v>
      </c>
      <c r="AI254" s="153">
        <f t="shared" si="463"/>
        <v>0.17150982201500606</v>
      </c>
      <c r="AJ254" s="153">
        <f t="shared" si="464"/>
        <v>0.17150982201500606</v>
      </c>
      <c r="AK254" s="153">
        <f t="shared" si="465"/>
        <v>1.2143398813433373</v>
      </c>
      <c r="AM254" s="317">
        <f t="shared" si="466"/>
        <v>38.000000000000007</v>
      </c>
      <c r="AN254" s="147">
        <f t="shared" si="467"/>
        <v>350</v>
      </c>
      <c r="AP254">
        <f t="shared" si="468"/>
        <v>38.000000000000007</v>
      </c>
      <c r="AQ254">
        <f t="shared" si="469"/>
        <v>350</v>
      </c>
      <c r="AS254" s="5">
        <f t="shared" si="364"/>
        <v>2.8571428571428572</v>
      </c>
      <c r="AT254" s="5">
        <f t="shared" si="470"/>
        <v>1.2250701572500433</v>
      </c>
      <c r="AU254" s="5">
        <f t="shared" si="440"/>
        <v>1.6320726998928139</v>
      </c>
      <c r="AV254" s="5"/>
      <c r="AW254" s="153">
        <f t="shared" si="441"/>
        <v>0.42877455503751516</v>
      </c>
      <c r="AX254" s="153"/>
      <c r="BA254" s="147">
        <f t="shared" si="471"/>
        <v>5.8677073027355267</v>
      </c>
      <c r="BB254" s="147">
        <f t="shared" si="472"/>
        <v>2.4466798394557827</v>
      </c>
      <c r="BC254" s="5">
        <f t="shared" si="442"/>
        <v>6.5628320207330101E-2</v>
      </c>
      <c r="BD254" s="147">
        <f t="shared" si="473"/>
        <v>0</v>
      </c>
      <c r="BQ254" s="463">
        <f t="shared" si="474"/>
        <v>1.4516000000000003E-2</v>
      </c>
      <c r="CG254" s="59">
        <f t="shared" si="475"/>
        <v>-50</v>
      </c>
      <c r="CH254">
        <f t="shared" si="476"/>
        <v>-50</v>
      </c>
    </row>
    <row r="255" spans="5:86" x14ac:dyDescent="0.25">
      <c r="E255" s="150">
        <v>39</v>
      </c>
      <c r="F255" s="191">
        <f t="shared" si="477"/>
        <v>3.9000000000000007E-2</v>
      </c>
      <c r="G255" s="191"/>
      <c r="H255" s="191">
        <f t="shared" si="443"/>
        <v>0.78000000000000014</v>
      </c>
      <c r="I255" s="472">
        <f t="shared" si="444"/>
        <v>21</v>
      </c>
      <c r="J255" s="386">
        <f t="shared" si="445"/>
        <v>20.32</v>
      </c>
      <c r="K255" s="386">
        <f t="shared" si="446"/>
        <v>41.32</v>
      </c>
      <c r="L255" s="386"/>
      <c r="M255" s="191">
        <f t="shared" si="447"/>
        <v>0.49177153920619554</v>
      </c>
      <c r="N255" s="152">
        <f t="shared" si="448"/>
        <v>3.5049491965150041</v>
      </c>
      <c r="O255" s="152">
        <f t="shared" si="363"/>
        <v>0.78000000000000014</v>
      </c>
      <c r="P255" s="191">
        <f t="shared" si="449"/>
        <v>0.17524745982575021</v>
      </c>
      <c r="Q255" s="191">
        <f t="shared" si="450"/>
        <v>20</v>
      </c>
      <c r="R255" s="191"/>
      <c r="S255" s="152">
        <f t="shared" si="451"/>
        <v>160.77248439845746</v>
      </c>
      <c r="T255" s="152">
        <f t="shared" si="452"/>
        <v>20</v>
      </c>
      <c r="U255" s="191">
        <f t="shared" si="453"/>
        <v>0.16784151981002376</v>
      </c>
      <c r="V255" s="191">
        <f t="shared" si="454"/>
        <v>1.1988679986430268</v>
      </c>
      <c r="W255" s="191">
        <f t="shared" si="455"/>
        <v>1.238987597022813</v>
      </c>
      <c r="X255" s="175">
        <f t="shared" si="456"/>
        <v>350</v>
      </c>
      <c r="Y255" s="386">
        <f t="shared" si="418"/>
        <v>350</v>
      </c>
      <c r="AA255" s="191">
        <f t="shared" si="457"/>
        <v>0.19670861568247827</v>
      </c>
      <c r="AB255" s="153">
        <f t="shared" si="458"/>
        <v>1.4520813165537272</v>
      </c>
      <c r="AC255" s="153">
        <f t="shared" si="459"/>
        <v>4.9986458486592979E-2</v>
      </c>
      <c r="AD255" s="153"/>
      <c r="AE255" s="153">
        <f t="shared" si="460"/>
        <v>1.1072834645669289</v>
      </c>
      <c r="AF255" s="317">
        <f t="shared" si="461"/>
        <v>469.61777777777786</v>
      </c>
      <c r="AG255" s="463">
        <f t="shared" si="462"/>
        <v>2.9066190944881887E-2</v>
      </c>
      <c r="AI255" s="153">
        <f t="shared" si="463"/>
        <v>0.17375187563221955</v>
      </c>
      <c r="AJ255" s="153">
        <f t="shared" si="464"/>
        <v>0.17375187563221955</v>
      </c>
      <c r="AK255" s="153">
        <f t="shared" si="465"/>
        <v>1.215834583754813</v>
      </c>
      <c r="AM255" s="317">
        <f t="shared" si="466"/>
        <v>39.000000000000007</v>
      </c>
      <c r="AN255" s="147">
        <f t="shared" si="467"/>
        <v>350</v>
      </c>
      <c r="AP255">
        <f t="shared" si="468"/>
        <v>39.000000000000007</v>
      </c>
      <c r="AQ255">
        <f t="shared" si="469"/>
        <v>350</v>
      </c>
      <c r="AS255" s="5">
        <f t="shared" si="364"/>
        <v>2.8571428571428572</v>
      </c>
      <c r="AT255" s="5">
        <f t="shared" si="470"/>
        <v>1.2410848259444254</v>
      </c>
      <c r="AU255" s="5">
        <f t="shared" si="440"/>
        <v>1.6160580311984318</v>
      </c>
      <c r="AV255" s="5"/>
      <c r="AW255" s="153">
        <f t="shared" si="441"/>
        <v>0.43437968908054886</v>
      </c>
      <c r="AX255" s="153"/>
      <c r="BA255" s="147">
        <f t="shared" si="471"/>
        <v>5.8677073027355267</v>
      </c>
      <c r="BB255" s="147">
        <f t="shared" si="472"/>
        <v>2.574067891836735</v>
      </c>
      <c r="BC255" s="5">
        <f t="shared" si="442"/>
        <v>6.6694458430411482E-2</v>
      </c>
      <c r="BD255" s="147">
        <f t="shared" si="473"/>
        <v>0</v>
      </c>
      <c r="BQ255" s="463">
        <f t="shared" si="474"/>
        <v>1.4898000000000002E-2</v>
      </c>
      <c r="CG255" s="59">
        <f t="shared" si="475"/>
        <v>-50</v>
      </c>
      <c r="CH255">
        <f t="shared" si="476"/>
        <v>-50</v>
      </c>
    </row>
    <row r="256" spans="5:86" x14ac:dyDescent="0.25">
      <c r="E256" s="150">
        <v>40</v>
      </c>
      <c r="F256" s="191">
        <f t="shared" si="477"/>
        <v>4.0000000000000008E-2</v>
      </c>
      <c r="G256" s="191"/>
      <c r="H256" s="191">
        <f t="shared" si="443"/>
        <v>0.80000000000000016</v>
      </c>
      <c r="I256" s="472">
        <f t="shared" si="444"/>
        <v>21</v>
      </c>
      <c r="J256" s="386">
        <f t="shared" si="445"/>
        <v>20.32</v>
      </c>
      <c r="K256" s="386">
        <f t="shared" si="446"/>
        <v>41.32</v>
      </c>
      <c r="L256" s="386"/>
      <c r="M256" s="191">
        <f t="shared" si="447"/>
        <v>0.49177153920619554</v>
      </c>
      <c r="N256" s="152">
        <f t="shared" si="448"/>
        <v>3.5049491965150041</v>
      </c>
      <c r="O256" s="152">
        <f t="shared" si="363"/>
        <v>0.80000000000000016</v>
      </c>
      <c r="P256" s="191">
        <f t="shared" si="449"/>
        <v>0.17524745982575021</v>
      </c>
      <c r="Q256" s="191">
        <f t="shared" si="450"/>
        <v>20</v>
      </c>
      <c r="R256" s="191"/>
      <c r="S256" s="152">
        <f t="shared" si="451"/>
        <v>156.23042546621949</v>
      </c>
      <c r="T256" s="152">
        <f t="shared" si="452"/>
        <v>20</v>
      </c>
      <c r="U256" s="191">
        <f t="shared" si="453"/>
        <v>0.17214514852310131</v>
      </c>
      <c r="V256" s="191">
        <f t="shared" si="454"/>
        <v>1.2296082037364378</v>
      </c>
      <c r="W256" s="191">
        <f t="shared" si="455"/>
        <v>1.270756509766988</v>
      </c>
      <c r="X256" s="175">
        <f t="shared" si="456"/>
        <v>350</v>
      </c>
      <c r="Y256" s="386">
        <f t="shared" si="418"/>
        <v>350</v>
      </c>
      <c r="AA256" s="191">
        <f t="shared" si="457"/>
        <v>0.19670861568247827</v>
      </c>
      <c r="AB256" s="153">
        <f t="shared" si="458"/>
        <v>1.4520813165537272</v>
      </c>
      <c r="AC256" s="153">
        <f t="shared" si="459"/>
        <v>4.9986458486592979E-2</v>
      </c>
      <c r="AD256" s="153"/>
      <c r="AE256" s="153">
        <f t="shared" si="460"/>
        <v>1.1072834645669289</v>
      </c>
      <c r="AF256" s="317">
        <f t="shared" si="461"/>
        <v>481.65925925925939</v>
      </c>
      <c r="AG256" s="463">
        <f t="shared" si="462"/>
        <v>2.9066190944881887E-2</v>
      </c>
      <c r="AI256" s="153">
        <f t="shared" si="463"/>
        <v>0.17596536455737399</v>
      </c>
      <c r="AJ256" s="153">
        <f t="shared" si="464"/>
        <v>0.17596536455737399</v>
      </c>
      <c r="AK256" s="153">
        <f t="shared" si="465"/>
        <v>1.2173102430382492</v>
      </c>
      <c r="AM256" s="317">
        <f t="shared" si="466"/>
        <v>40.000000000000007</v>
      </c>
      <c r="AN256" s="147">
        <f t="shared" si="467"/>
        <v>350</v>
      </c>
      <c r="AP256">
        <f t="shared" si="468"/>
        <v>40.000000000000007</v>
      </c>
      <c r="AQ256">
        <f t="shared" si="469"/>
        <v>350</v>
      </c>
      <c r="AS256" s="5">
        <f t="shared" si="364"/>
        <v>2.8571428571428572</v>
      </c>
      <c r="AT256" s="5">
        <f t="shared" si="470"/>
        <v>1.2568954611240999</v>
      </c>
      <c r="AU256" s="5">
        <f t="shared" si="440"/>
        <v>1.6002473960187573</v>
      </c>
      <c r="AV256" s="5"/>
      <c r="AW256" s="153">
        <f t="shared" si="441"/>
        <v>0.43991341139343493</v>
      </c>
      <c r="AX256" s="153"/>
      <c r="BA256" s="147">
        <f t="shared" si="471"/>
        <v>5.8677073027355267</v>
      </c>
      <c r="BB256" s="147">
        <f t="shared" si="472"/>
        <v>2.7046868027210893</v>
      </c>
      <c r="BC256" s="5">
        <f t="shared" si="442"/>
        <v>6.7735339514021498E-2</v>
      </c>
      <c r="BD256" s="147">
        <f t="shared" si="473"/>
        <v>0</v>
      </c>
      <c r="BQ256" s="463">
        <f t="shared" si="474"/>
        <v>1.5280000000000004E-2</v>
      </c>
      <c r="CG256" s="59">
        <f t="shared" si="475"/>
        <v>-50</v>
      </c>
      <c r="CH256">
        <f t="shared" si="476"/>
        <v>-50</v>
      </c>
    </row>
    <row r="257" spans="5:86" x14ac:dyDescent="0.25">
      <c r="E257" s="150">
        <v>41</v>
      </c>
      <c r="F257" s="191">
        <f t="shared" si="477"/>
        <v>4.1000000000000002E-2</v>
      </c>
      <c r="G257" s="191"/>
      <c r="H257" s="191">
        <f t="shared" si="443"/>
        <v>0.82000000000000006</v>
      </c>
      <c r="I257" s="472">
        <f t="shared" si="444"/>
        <v>21</v>
      </c>
      <c r="J257" s="386">
        <f t="shared" si="445"/>
        <v>20.32</v>
      </c>
      <c r="K257" s="386">
        <f t="shared" si="446"/>
        <v>41.32</v>
      </c>
      <c r="L257" s="386"/>
      <c r="M257" s="191">
        <f t="shared" si="447"/>
        <v>0.49177153920619554</v>
      </c>
      <c r="N257" s="152">
        <f t="shared" si="448"/>
        <v>3.5049491965150041</v>
      </c>
      <c r="O257" s="152">
        <f t="shared" si="363"/>
        <v>0.82000000000000006</v>
      </c>
      <c r="P257" s="191">
        <f t="shared" si="449"/>
        <v>0.17524745982575021</v>
      </c>
      <c r="Q257" s="191">
        <f t="shared" si="450"/>
        <v>20</v>
      </c>
      <c r="R257" s="191"/>
      <c r="S257" s="152">
        <f t="shared" si="451"/>
        <v>151.90999738917608</v>
      </c>
      <c r="T257" s="152">
        <f t="shared" si="452"/>
        <v>20</v>
      </c>
      <c r="U257" s="191">
        <f t="shared" si="453"/>
        <v>0.1764487772361788</v>
      </c>
      <c r="V257" s="191">
        <f t="shared" si="454"/>
        <v>1.2603484088298484</v>
      </c>
      <c r="W257" s="191">
        <f t="shared" si="455"/>
        <v>1.3025254225111622</v>
      </c>
      <c r="X257" s="175">
        <f t="shared" si="456"/>
        <v>350</v>
      </c>
      <c r="Y257" s="386">
        <f t="shared" si="418"/>
        <v>350</v>
      </c>
      <c r="AA257" s="191">
        <f t="shared" si="457"/>
        <v>0.19670861568247827</v>
      </c>
      <c r="AB257" s="153">
        <f t="shared" si="458"/>
        <v>1.4520813165537272</v>
      </c>
      <c r="AC257" s="153">
        <f t="shared" si="459"/>
        <v>4.9986458486592979E-2</v>
      </c>
      <c r="AD257" s="153"/>
      <c r="AE257" s="153">
        <f t="shared" si="460"/>
        <v>1.1072834645669289</v>
      </c>
      <c r="AF257" s="317">
        <f t="shared" si="461"/>
        <v>493.7007407407408</v>
      </c>
      <c r="AG257" s="463">
        <f t="shared" si="462"/>
        <v>2.9066190944881887E-2</v>
      </c>
      <c r="AI257" s="153">
        <f t="shared" si="463"/>
        <v>0.17815135352251682</v>
      </c>
      <c r="AJ257" s="153">
        <f t="shared" si="464"/>
        <v>0.17815135352251682</v>
      </c>
      <c r="AK257" s="153">
        <f t="shared" si="465"/>
        <v>1.2187675690150113</v>
      </c>
      <c r="AM257" s="317">
        <f t="shared" si="466"/>
        <v>41</v>
      </c>
      <c r="AN257" s="147">
        <f t="shared" si="467"/>
        <v>350</v>
      </c>
      <c r="AP257">
        <f t="shared" si="468"/>
        <v>41</v>
      </c>
      <c r="AQ257">
        <f t="shared" si="469"/>
        <v>350</v>
      </c>
      <c r="AS257" s="5">
        <f t="shared" si="364"/>
        <v>2.8571428571428572</v>
      </c>
      <c r="AT257" s="5">
        <f t="shared" si="470"/>
        <v>1.2725096680179773</v>
      </c>
      <c r="AU257" s="5">
        <f t="shared" si="440"/>
        <v>1.5846331891248799</v>
      </c>
      <c r="AV257" s="5"/>
      <c r="AW257" s="153">
        <f t="shared" si="441"/>
        <v>0.44537838380629202</v>
      </c>
      <c r="AX257" s="153"/>
      <c r="BA257" s="147">
        <f t="shared" si="471"/>
        <v>5.8677073027355267</v>
      </c>
      <c r="BB257" s="147">
        <f t="shared" si="472"/>
        <v>2.8385365721088434</v>
      </c>
      <c r="BC257" s="5">
        <f t="shared" si="442"/>
        <v>6.8751281221291094E-2</v>
      </c>
      <c r="BD257" s="147">
        <f t="shared" si="473"/>
        <v>0</v>
      </c>
      <c r="BQ257" s="463">
        <f t="shared" si="474"/>
        <v>1.5662000000000002E-2</v>
      </c>
      <c r="CG257" s="59">
        <f t="shared" si="475"/>
        <v>-50</v>
      </c>
      <c r="CH257">
        <f t="shared" si="476"/>
        <v>-50</v>
      </c>
    </row>
    <row r="258" spans="5:86" x14ac:dyDescent="0.25">
      <c r="E258" s="150">
        <v>42</v>
      </c>
      <c r="F258" s="191">
        <f t="shared" si="477"/>
        <v>4.2000000000000003E-2</v>
      </c>
      <c r="G258" s="191"/>
      <c r="H258" s="191">
        <f t="shared" si="443"/>
        <v>0.84000000000000008</v>
      </c>
      <c r="I258" s="472">
        <f t="shared" si="444"/>
        <v>21</v>
      </c>
      <c r="J258" s="386">
        <f t="shared" si="445"/>
        <v>20.32</v>
      </c>
      <c r="K258" s="386">
        <f t="shared" si="446"/>
        <v>41.32</v>
      </c>
      <c r="L258" s="386"/>
      <c r="M258" s="191">
        <f t="shared" si="447"/>
        <v>0.49177153920619554</v>
      </c>
      <c r="N258" s="152">
        <f t="shared" si="448"/>
        <v>3.5049491965150041</v>
      </c>
      <c r="O258" s="152">
        <f t="shared" si="363"/>
        <v>0.84000000000000008</v>
      </c>
      <c r="P258" s="191">
        <f t="shared" si="449"/>
        <v>0.17524745982575021</v>
      </c>
      <c r="Q258" s="191">
        <f t="shared" si="450"/>
        <v>20</v>
      </c>
      <c r="R258" s="191"/>
      <c r="S258" s="152">
        <f t="shared" si="451"/>
        <v>147.79537003822267</v>
      </c>
      <c r="T258" s="152">
        <f t="shared" si="452"/>
        <v>20</v>
      </c>
      <c r="U258" s="191">
        <f t="shared" si="453"/>
        <v>0.18075240594925635</v>
      </c>
      <c r="V258" s="191">
        <f t="shared" si="454"/>
        <v>1.2910886139232596</v>
      </c>
      <c r="W258" s="191">
        <f t="shared" si="455"/>
        <v>1.3342943352553371</v>
      </c>
      <c r="X258" s="175">
        <f t="shared" si="456"/>
        <v>350</v>
      </c>
      <c r="Y258" s="386">
        <f t="shared" si="418"/>
        <v>350</v>
      </c>
      <c r="AA258" s="191">
        <f t="shared" si="457"/>
        <v>0.19670861568247827</v>
      </c>
      <c r="AB258" s="153">
        <f t="shared" si="458"/>
        <v>1.4520813165537272</v>
      </c>
      <c r="AC258" s="153">
        <f t="shared" si="459"/>
        <v>4.9986458486592979E-2</v>
      </c>
      <c r="AD258" s="153"/>
      <c r="AE258" s="153">
        <f t="shared" si="460"/>
        <v>1.1072834645669289</v>
      </c>
      <c r="AF258" s="317">
        <f t="shared" si="461"/>
        <v>505.74222222222232</v>
      </c>
      <c r="AG258" s="463">
        <f t="shared" si="462"/>
        <v>2.9066190944881887E-2</v>
      </c>
      <c r="AI258" s="153">
        <f t="shared" si="463"/>
        <v>0.18031084271335435</v>
      </c>
      <c r="AJ258" s="153">
        <f t="shared" si="464"/>
        <v>0.18031084271335435</v>
      </c>
      <c r="AK258" s="153">
        <f t="shared" si="465"/>
        <v>1.2202072284755696</v>
      </c>
      <c r="AM258" s="317">
        <f t="shared" si="466"/>
        <v>42</v>
      </c>
      <c r="AN258" s="147">
        <f t="shared" si="467"/>
        <v>350</v>
      </c>
      <c r="AP258">
        <f t="shared" si="468"/>
        <v>42</v>
      </c>
      <c r="AQ258">
        <f t="shared" si="469"/>
        <v>350</v>
      </c>
      <c r="AS258" s="5">
        <f t="shared" si="364"/>
        <v>2.8571428571428572</v>
      </c>
      <c r="AT258" s="5">
        <f t="shared" si="470"/>
        <v>1.2879345908096738</v>
      </c>
      <c r="AU258" s="5">
        <f t="shared" si="440"/>
        <v>1.5692082663331834</v>
      </c>
      <c r="AV258" s="5"/>
      <c r="AW258" s="153">
        <f t="shared" si="441"/>
        <v>0.45077710678338578</v>
      </c>
      <c r="AX258" s="153"/>
      <c r="BA258" s="147">
        <f t="shared" si="471"/>
        <v>5.8677073027355267</v>
      </c>
      <c r="BB258" s="147">
        <f t="shared" si="472"/>
        <v>2.9756172000000003</v>
      </c>
      <c r="BC258" s="5">
        <f t="shared" si="442"/>
        <v>6.9742589614808156E-2</v>
      </c>
      <c r="BD258" s="147">
        <f t="shared" si="473"/>
        <v>0</v>
      </c>
      <c r="BQ258" s="463">
        <f t="shared" si="474"/>
        <v>1.6044000000000003E-2</v>
      </c>
      <c r="CG258" s="59">
        <f t="shared" si="475"/>
        <v>-50</v>
      </c>
      <c r="CH258">
        <f t="shared" si="476"/>
        <v>-50</v>
      </c>
    </row>
    <row r="259" spans="5:86" x14ac:dyDescent="0.25">
      <c r="E259" s="150">
        <v>43</v>
      </c>
      <c r="F259" s="191">
        <f t="shared" si="477"/>
        <v>4.3000000000000003E-2</v>
      </c>
      <c r="G259" s="191"/>
      <c r="H259" s="191">
        <f t="shared" si="443"/>
        <v>0.8600000000000001</v>
      </c>
      <c r="I259" s="472">
        <f t="shared" si="444"/>
        <v>21</v>
      </c>
      <c r="J259" s="386">
        <f t="shared" si="445"/>
        <v>20.32</v>
      </c>
      <c r="K259" s="386">
        <f t="shared" si="446"/>
        <v>41.32</v>
      </c>
      <c r="L259" s="386"/>
      <c r="M259" s="191">
        <f t="shared" si="447"/>
        <v>0.49177153920619554</v>
      </c>
      <c r="N259" s="152">
        <f t="shared" si="448"/>
        <v>3.5049491965150041</v>
      </c>
      <c r="O259" s="152">
        <f t="shared" si="363"/>
        <v>0.8600000000000001</v>
      </c>
      <c r="P259" s="191">
        <f t="shared" si="449"/>
        <v>0.17524745982575021</v>
      </c>
      <c r="Q259" s="191">
        <f t="shared" si="450"/>
        <v>20</v>
      </c>
      <c r="R259" s="191"/>
      <c r="S259" s="152">
        <f t="shared" si="451"/>
        <v>143.87218586257291</v>
      </c>
      <c r="T259" s="152">
        <f t="shared" si="452"/>
        <v>20</v>
      </c>
      <c r="U259" s="191">
        <f t="shared" si="453"/>
        <v>0.18505603466233389</v>
      </c>
      <c r="V259" s="191">
        <f t="shared" si="454"/>
        <v>1.3218288190166705</v>
      </c>
      <c r="W259" s="191">
        <f t="shared" si="455"/>
        <v>1.3660632479995116</v>
      </c>
      <c r="X259" s="175">
        <f t="shared" si="456"/>
        <v>350</v>
      </c>
      <c r="Y259" s="386">
        <f t="shared" si="418"/>
        <v>350</v>
      </c>
      <c r="AA259" s="191">
        <f t="shared" si="457"/>
        <v>0.19670861568247827</v>
      </c>
      <c r="AB259" s="153">
        <f t="shared" si="458"/>
        <v>1.4520813165537272</v>
      </c>
      <c r="AC259" s="153">
        <f t="shared" si="459"/>
        <v>4.9986458486592979E-2</v>
      </c>
      <c r="AD259" s="153"/>
      <c r="AE259" s="153">
        <f t="shared" si="460"/>
        <v>1.1072834645669289</v>
      </c>
      <c r="AF259" s="317">
        <f t="shared" si="461"/>
        <v>517.78370370370374</v>
      </c>
      <c r="AG259" s="463">
        <f t="shared" si="462"/>
        <v>2.9066190944881887E-2</v>
      </c>
      <c r="AI259" s="153">
        <f t="shared" si="463"/>
        <v>0.18244477311804591</v>
      </c>
      <c r="AJ259" s="153">
        <f t="shared" si="464"/>
        <v>0.18244477311804591</v>
      </c>
      <c r="AK259" s="153">
        <f t="shared" si="465"/>
        <v>1.2216298487453638</v>
      </c>
      <c r="AM259" s="317">
        <f t="shared" si="466"/>
        <v>43</v>
      </c>
      <c r="AN259" s="147">
        <f t="shared" si="467"/>
        <v>350</v>
      </c>
      <c r="AP259">
        <f t="shared" si="468"/>
        <v>43</v>
      </c>
      <c r="AQ259">
        <f t="shared" si="469"/>
        <v>350</v>
      </c>
      <c r="AS259" s="5">
        <f t="shared" si="364"/>
        <v>2.8571428571428572</v>
      </c>
      <c r="AT259" s="5">
        <f t="shared" si="470"/>
        <v>1.303176950843185</v>
      </c>
      <c r="AU259" s="5">
        <f t="shared" si="440"/>
        <v>1.5539659062996722</v>
      </c>
      <c r="AV259" s="5"/>
      <c r="AW259" s="153">
        <f t="shared" si="441"/>
        <v>0.45611193279511475</v>
      </c>
      <c r="AX259" s="153"/>
      <c r="BA259" s="147">
        <f t="shared" si="471"/>
        <v>5.8677073027355267</v>
      </c>
      <c r="BB259" s="147">
        <f t="shared" si="472"/>
        <v>3.1159286863945583</v>
      </c>
      <c r="BC259" s="5">
        <f t="shared" si="442"/>
        <v>7.0709559757551221E-2</v>
      </c>
      <c r="BD259" s="147">
        <f t="shared" si="473"/>
        <v>0</v>
      </c>
      <c r="BQ259" s="463">
        <f t="shared" si="474"/>
        <v>1.6426000000000003E-2</v>
      </c>
      <c r="CG259" s="59">
        <f t="shared" si="475"/>
        <v>-50</v>
      </c>
      <c r="CH259">
        <f t="shared" si="476"/>
        <v>-50</v>
      </c>
    </row>
    <row r="260" spans="5:86" x14ac:dyDescent="0.25">
      <c r="E260" s="150">
        <v>44</v>
      </c>
      <c r="F260" s="191">
        <f t="shared" si="477"/>
        <v>4.4000000000000004E-2</v>
      </c>
      <c r="G260" s="191"/>
      <c r="H260" s="191">
        <f t="shared" si="443"/>
        <v>0.88000000000000012</v>
      </c>
      <c r="I260" s="472">
        <f t="shared" si="444"/>
        <v>21</v>
      </c>
      <c r="J260" s="386">
        <f t="shared" si="445"/>
        <v>20.32</v>
      </c>
      <c r="K260" s="386">
        <f t="shared" si="446"/>
        <v>41.32</v>
      </c>
      <c r="L260" s="386"/>
      <c r="M260" s="191">
        <f t="shared" si="447"/>
        <v>0.49177153920619554</v>
      </c>
      <c r="N260" s="152">
        <f t="shared" si="448"/>
        <v>3.5049491965150041</v>
      </c>
      <c r="O260" s="152">
        <f t="shared" si="363"/>
        <v>0.88000000000000012</v>
      </c>
      <c r="P260" s="191">
        <f t="shared" si="449"/>
        <v>0.17524745982575021</v>
      </c>
      <c r="Q260" s="191">
        <f t="shared" si="450"/>
        <v>20</v>
      </c>
      <c r="R260" s="191"/>
      <c r="S260" s="152">
        <f t="shared" si="451"/>
        <v>140.12739255144004</v>
      </c>
      <c r="T260" s="152">
        <f t="shared" si="452"/>
        <v>20</v>
      </c>
      <c r="U260" s="191">
        <f t="shared" si="453"/>
        <v>0.18935966337541141</v>
      </c>
      <c r="V260" s="191">
        <f t="shared" si="454"/>
        <v>1.3525690241100816</v>
      </c>
      <c r="W260" s="191">
        <f t="shared" si="455"/>
        <v>1.3978321607436863</v>
      </c>
      <c r="X260" s="175">
        <f t="shared" si="456"/>
        <v>350</v>
      </c>
      <c r="Y260" s="386">
        <f t="shared" si="418"/>
        <v>350</v>
      </c>
      <c r="AA260" s="191">
        <f t="shared" si="457"/>
        <v>0.19670861568247827</v>
      </c>
      <c r="AB260" s="153">
        <f t="shared" si="458"/>
        <v>1.4520813165537272</v>
      </c>
      <c r="AC260" s="153">
        <f t="shared" si="459"/>
        <v>4.9986458486592979E-2</v>
      </c>
      <c r="AD260" s="153"/>
      <c r="AE260" s="153">
        <f t="shared" si="460"/>
        <v>1.1072834645669289</v>
      </c>
      <c r="AF260" s="317">
        <f t="shared" si="461"/>
        <v>529.82518518518532</v>
      </c>
      <c r="AG260" s="463">
        <f t="shared" si="462"/>
        <v>2.9066190944881887E-2</v>
      </c>
      <c r="AI260" s="153">
        <f t="shared" si="463"/>
        <v>0.18455403131926024</v>
      </c>
      <c r="AJ260" s="153">
        <f t="shared" si="464"/>
        <v>0.18455403131926024</v>
      </c>
      <c r="AK260" s="153">
        <f t="shared" si="465"/>
        <v>1.2230360208795068</v>
      </c>
      <c r="AM260" s="317">
        <f t="shared" si="466"/>
        <v>44.000000000000007</v>
      </c>
      <c r="AN260" s="147">
        <f t="shared" si="467"/>
        <v>350</v>
      </c>
      <c r="AP260">
        <f t="shared" si="468"/>
        <v>44.000000000000007</v>
      </c>
      <c r="AQ260">
        <f t="shared" si="469"/>
        <v>350</v>
      </c>
      <c r="AS260" s="5">
        <f t="shared" si="364"/>
        <v>2.8571428571428572</v>
      </c>
      <c r="AT260" s="5">
        <f t="shared" si="470"/>
        <v>1.3182430808518586</v>
      </c>
      <c r="AU260" s="5">
        <f t="shared" si="440"/>
        <v>1.5388997762909986</v>
      </c>
      <c r="AV260" s="5"/>
      <c r="AW260" s="153">
        <f t="shared" si="441"/>
        <v>0.46138507829815051</v>
      </c>
      <c r="AX260" s="153"/>
      <c r="BA260" s="147">
        <f t="shared" si="471"/>
        <v>5.8677073027355267</v>
      </c>
      <c r="BB260" s="147">
        <f t="shared" si="472"/>
        <v>3.2594710312925179</v>
      </c>
      <c r="BC260" s="5">
        <f t="shared" si="442"/>
        <v>7.16524763564063E-2</v>
      </c>
      <c r="BD260" s="147">
        <f t="shared" si="473"/>
        <v>0</v>
      </c>
      <c r="BQ260" s="463">
        <f t="shared" si="474"/>
        <v>1.6808E-2</v>
      </c>
      <c r="CG260" s="59">
        <f t="shared" si="475"/>
        <v>-50</v>
      </c>
      <c r="CH260">
        <f t="shared" si="476"/>
        <v>-50</v>
      </c>
    </row>
    <row r="261" spans="5:86" x14ac:dyDescent="0.25">
      <c r="E261" s="150">
        <v>45</v>
      </c>
      <c r="F261" s="191">
        <f t="shared" si="477"/>
        <v>4.5000000000000005E-2</v>
      </c>
      <c r="G261" s="191"/>
      <c r="H261" s="191">
        <f t="shared" si="443"/>
        <v>0.90000000000000013</v>
      </c>
      <c r="I261" s="472">
        <f t="shared" si="444"/>
        <v>21</v>
      </c>
      <c r="J261" s="386">
        <f t="shared" si="445"/>
        <v>20.32</v>
      </c>
      <c r="K261" s="386">
        <f t="shared" si="446"/>
        <v>41.32</v>
      </c>
      <c r="L261" s="386"/>
      <c r="M261" s="191">
        <f t="shared" si="447"/>
        <v>0.49177153920619554</v>
      </c>
      <c r="N261" s="152">
        <f t="shared" si="448"/>
        <v>3.5049491965150041</v>
      </c>
      <c r="O261" s="152">
        <f t="shared" si="363"/>
        <v>0.90000000000000013</v>
      </c>
      <c r="P261" s="191">
        <f t="shared" si="449"/>
        <v>0.17524745982575021</v>
      </c>
      <c r="Q261" s="191">
        <f t="shared" si="450"/>
        <v>20</v>
      </c>
      <c r="R261" s="191"/>
      <c r="S261" s="152">
        <f t="shared" si="451"/>
        <v>136.54909800749641</v>
      </c>
      <c r="T261" s="152">
        <f t="shared" si="452"/>
        <v>20</v>
      </c>
      <c r="U261" s="191">
        <f t="shared" si="453"/>
        <v>0.19366329208848895</v>
      </c>
      <c r="V261" s="191">
        <f t="shared" si="454"/>
        <v>1.3833092292034923</v>
      </c>
      <c r="W261" s="191">
        <f t="shared" si="455"/>
        <v>1.429601073487861</v>
      </c>
      <c r="X261" s="175">
        <f t="shared" si="456"/>
        <v>350</v>
      </c>
      <c r="Y261" s="386">
        <f t="shared" si="418"/>
        <v>350</v>
      </c>
      <c r="AA261" s="191">
        <f t="shared" si="457"/>
        <v>0.19670861568247827</v>
      </c>
      <c r="AB261" s="153">
        <f t="shared" si="458"/>
        <v>1.4520813165537272</v>
      </c>
      <c r="AC261" s="153">
        <f t="shared" si="459"/>
        <v>4.9986458486592979E-2</v>
      </c>
      <c r="AD261" s="153"/>
      <c r="AE261" s="153">
        <f t="shared" si="460"/>
        <v>1.1072834645669289</v>
      </c>
      <c r="AF261" s="317">
        <f t="shared" si="461"/>
        <v>541.86666666666679</v>
      </c>
      <c r="AG261" s="463">
        <f t="shared" si="462"/>
        <v>2.9066190944881887E-2</v>
      </c>
      <c r="AI261" s="153">
        <f t="shared" si="463"/>
        <v>0.18663945379872318</v>
      </c>
      <c r="AJ261" s="153">
        <f t="shared" si="464"/>
        <v>0.18663945379872318</v>
      </c>
      <c r="AK261" s="153">
        <f t="shared" si="465"/>
        <v>1.224426302532482</v>
      </c>
      <c r="AM261" s="317">
        <f t="shared" si="466"/>
        <v>45.000000000000007</v>
      </c>
      <c r="AN261" s="147">
        <f t="shared" si="467"/>
        <v>350</v>
      </c>
      <c r="AP261">
        <f t="shared" si="468"/>
        <v>45.000000000000007</v>
      </c>
      <c r="AQ261">
        <f t="shared" si="469"/>
        <v>350</v>
      </c>
      <c r="AS261" s="5">
        <f t="shared" si="364"/>
        <v>2.8571428571428572</v>
      </c>
      <c r="AT261" s="5">
        <f t="shared" si="470"/>
        <v>1.3331389557051654</v>
      </c>
      <c r="AU261" s="5">
        <f t="shared" si="440"/>
        <v>1.5240039014376918</v>
      </c>
      <c r="AV261" s="5"/>
      <c r="AW261" s="153">
        <f t="shared" si="441"/>
        <v>0.46659863449680788</v>
      </c>
      <c r="AX261" s="153"/>
      <c r="BA261" s="147">
        <f t="shared" si="471"/>
        <v>5.8677073027355267</v>
      </c>
      <c r="BB261" s="147">
        <f t="shared" si="472"/>
        <v>3.4062442346938777</v>
      </c>
      <c r="BC261" s="5">
        <f t="shared" si="442"/>
        <v>7.257161435417582E-2</v>
      </c>
      <c r="BD261" s="147">
        <f t="shared" si="473"/>
        <v>0</v>
      </c>
      <c r="BQ261" s="463">
        <f t="shared" si="474"/>
        <v>1.719E-2</v>
      </c>
      <c r="CG261" s="59">
        <f t="shared" si="475"/>
        <v>-50</v>
      </c>
      <c r="CH261">
        <f t="shared" si="476"/>
        <v>-50</v>
      </c>
    </row>
    <row r="262" spans="5:86" x14ac:dyDescent="0.25">
      <c r="E262" s="150">
        <v>46</v>
      </c>
      <c r="F262" s="191">
        <f t="shared" si="477"/>
        <v>4.6000000000000006E-2</v>
      </c>
      <c r="G262" s="191"/>
      <c r="H262" s="191">
        <f t="shared" si="443"/>
        <v>0.92000000000000015</v>
      </c>
      <c r="I262" s="472">
        <f t="shared" si="444"/>
        <v>21</v>
      </c>
      <c r="J262" s="386">
        <f t="shared" si="445"/>
        <v>20.32</v>
      </c>
      <c r="K262" s="386">
        <f t="shared" si="446"/>
        <v>41.32</v>
      </c>
      <c r="L262" s="386"/>
      <c r="M262" s="191">
        <f t="shared" si="447"/>
        <v>0.49177153920619554</v>
      </c>
      <c r="N262" s="152">
        <f t="shared" si="448"/>
        <v>3.5049491965150041</v>
      </c>
      <c r="O262" s="152">
        <f t="shared" ref="O262:O316" si="478">T262*F262</f>
        <v>0.92000000000000015</v>
      </c>
      <c r="P262" s="191">
        <f t="shared" si="449"/>
        <v>0.17524745982575021</v>
      </c>
      <c r="Q262" s="191">
        <f t="shared" si="450"/>
        <v>20</v>
      </c>
      <c r="R262" s="191"/>
      <c r="S262" s="152">
        <f t="shared" si="451"/>
        <v>133.12644423684065</v>
      </c>
      <c r="T262" s="152">
        <f t="shared" si="452"/>
        <v>20</v>
      </c>
      <c r="U262" s="191">
        <f t="shared" si="453"/>
        <v>0.1979669208015665</v>
      </c>
      <c r="V262" s="191">
        <f t="shared" si="454"/>
        <v>1.4140494342969034</v>
      </c>
      <c r="W262" s="191">
        <f t="shared" si="455"/>
        <v>1.461369986232036</v>
      </c>
      <c r="X262" s="175">
        <f t="shared" si="456"/>
        <v>350</v>
      </c>
      <c r="Y262" s="386">
        <f t="shared" si="418"/>
        <v>347.77535160976549</v>
      </c>
      <c r="AA262" s="191">
        <f t="shared" si="457"/>
        <v>0.19670861568247827</v>
      </c>
      <c r="AB262" s="153">
        <f t="shared" si="458"/>
        <v>1.4520813165537272</v>
      </c>
      <c r="AC262" s="153">
        <f t="shared" si="459"/>
        <v>4.9986458486592979E-2</v>
      </c>
      <c r="AD262" s="153"/>
      <c r="AE262" s="153">
        <f t="shared" si="460"/>
        <v>1.1072834645669289</v>
      </c>
      <c r="AF262" s="317">
        <f t="shared" si="461"/>
        <v>553.90814814814837</v>
      </c>
      <c r="AG262" s="463">
        <f t="shared" si="462"/>
        <v>2.9066190944881887E-2</v>
      </c>
      <c r="AI262" s="153">
        <f t="shared" si="463"/>
        <v>0.18870183081353759</v>
      </c>
      <c r="AJ262" s="153">
        <f t="shared" si="464"/>
        <v>0.18870183081353759</v>
      </c>
      <c r="AK262" s="153">
        <f t="shared" si="465"/>
        <v>1.2258012205423583</v>
      </c>
      <c r="AM262" s="317">
        <f t="shared" si="466"/>
        <v>46.000000000000007</v>
      </c>
      <c r="AN262" s="147">
        <f t="shared" si="467"/>
        <v>347.77535160976549</v>
      </c>
      <c r="AP262">
        <f t="shared" si="468"/>
        <v>46.000000000000007</v>
      </c>
      <c r="AQ262">
        <f t="shared" si="469"/>
        <v>347.77535160976549</v>
      </c>
      <c r="AS262" s="5">
        <f t="shared" si="364"/>
        <v>2.8754194205289392</v>
      </c>
      <c r="AT262" s="5">
        <f t="shared" si="470"/>
        <v>1.3478702200966968</v>
      </c>
      <c r="AU262" s="5">
        <f t="shared" si="440"/>
        <v>1.5275492004322424</v>
      </c>
      <c r="AV262" s="5"/>
      <c r="AW262" s="153">
        <f t="shared" si="441"/>
        <v>0.46875603971846075</v>
      </c>
      <c r="AX262" s="153"/>
      <c r="BA262" s="147">
        <f t="shared" si="471"/>
        <v>5.8677073027355267</v>
      </c>
      <c r="BB262" s="147">
        <f t="shared" si="472"/>
        <v>3.5562482965986404</v>
      </c>
      <c r="BC262" s="5">
        <f t="shared" si="442"/>
        <v>7.4356892296172664E-2</v>
      </c>
      <c r="BD262" s="147">
        <f t="shared" si="473"/>
        <v>0</v>
      </c>
      <c r="BQ262" s="463">
        <f t="shared" si="474"/>
        <v>1.7572000000000001E-2</v>
      </c>
      <c r="CG262" s="59">
        <f t="shared" si="475"/>
        <v>-50</v>
      </c>
      <c r="CH262">
        <f t="shared" si="476"/>
        <v>-50</v>
      </c>
    </row>
    <row r="263" spans="5:86" x14ac:dyDescent="0.25">
      <c r="E263" s="150">
        <v>47</v>
      </c>
      <c r="F263" s="191">
        <f t="shared" si="477"/>
        <v>4.7E-2</v>
      </c>
      <c r="G263" s="191"/>
      <c r="H263" s="191">
        <f t="shared" si="443"/>
        <v>0.94</v>
      </c>
      <c r="I263" s="472">
        <f t="shared" si="444"/>
        <v>21</v>
      </c>
      <c r="J263" s="386">
        <f t="shared" si="445"/>
        <v>20.32</v>
      </c>
      <c r="K263" s="386">
        <f t="shared" si="446"/>
        <v>41.32</v>
      </c>
      <c r="L263" s="386"/>
      <c r="M263" s="191">
        <f t="shared" si="447"/>
        <v>0.49177153920619554</v>
      </c>
      <c r="N263" s="152">
        <f t="shared" si="448"/>
        <v>3.5049491965150041</v>
      </c>
      <c r="O263" s="152">
        <f t="shared" si="478"/>
        <v>0.94</v>
      </c>
      <c r="P263" s="191">
        <f t="shared" si="449"/>
        <v>0.17524745982575021</v>
      </c>
      <c r="Q263" s="191">
        <f t="shared" si="450"/>
        <v>20</v>
      </c>
      <c r="R263" s="191"/>
      <c r="S263" s="152">
        <f t="shared" si="451"/>
        <v>129.84949733812024</v>
      </c>
      <c r="T263" s="152">
        <f t="shared" si="452"/>
        <v>20</v>
      </c>
      <c r="U263" s="191">
        <f t="shared" si="453"/>
        <v>0.20227054951464399</v>
      </c>
      <c r="V263" s="191">
        <f t="shared" si="454"/>
        <v>1.4447896393903139</v>
      </c>
      <c r="W263" s="191">
        <f t="shared" si="455"/>
        <v>1.4931388989762104</v>
      </c>
      <c r="X263" s="175">
        <f t="shared" si="456"/>
        <v>350</v>
      </c>
      <c r="Y263" s="386">
        <f t="shared" si="418"/>
        <v>340.37587604360039</v>
      </c>
      <c r="AA263" s="191">
        <f t="shared" si="457"/>
        <v>0.19670861568247827</v>
      </c>
      <c r="AB263" s="153">
        <f t="shared" si="458"/>
        <v>1.4520813165537272</v>
      </c>
      <c r="AC263" s="153">
        <f t="shared" si="459"/>
        <v>4.9986458486592979E-2</v>
      </c>
      <c r="AD263" s="153"/>
      <c r="AE263" s="153">
        <f t="shared" si="460"/>
        <v>1.1072834645669289</v>
      </c>
      <c r="AF263" s="317">
        <f t="shared" si="461"/>
        <v>565.94962962962961</v>
      </c>
      <c r="AG263" s="463">
        <f t="shared" si="462"/>
        <v>2.9066190944881887E-2</v>
      </c>
      <c r="AI263" s="153">
        <f t="shared" si="463"/>
        <v>0.19074190989521991</v>
      </c>
      <c r="AJ263" s="153">
        <f t="shared" si="464"/>
        <v>0.19074190989521991</v>
      </c>
      <c r="AK263" s="153">
        <f t="shared" si="465"/>
        <v>1.22716127326348</v>
      </c>
      <c r="AM263" s="317">
        <f t="shared" si="466"/>
        <v>47</v>
      </c>
      <c r="AN263" s="147">
        <f t="shared" si="467"/>
        <v>340.37587604360039</v>
      </c>
      <c r="AP263">
        <f t="shared" si="468"/>
        <v>47</v>
      </c>
      <c r="AQ263">
        <f t="shared" si="469"/>
        <v>340.37587604360039</v>
      </c>
      <c r="AS263" s="5">
        <f t="shared" ref="AS263:AS316" si="479">1/AN263*1000</f>
        <v>2.9379285383665241</v>
      </c>
      <c r="AT263" s="5">
        <f t="shared" si="470"/>
        <v>1.3624422135372849</v>
      </c>
      <c r="AU263" s="5">
        <f t="shared" si="440"/>
        <v>1.5754863248292392</v>
      </c>
      <c r="AV263" s="5"/>
      <c r="AW263" s="153">
        <f t="shared" si="441"/>
        <v>0.4637424619915354</v>
      </c>
      <c r="AX263" s="153"/>
      <c r="BA263" s="147">
        <f t="shared" si="471"/>
        <v>5.8677073027355267</v>
      </c>
      <c r="BB263" s="147">
        <f t="shared" si="472"/>
        <v>3.7094832170068028</v>
      </c>
      <c r="BC263" s="5">
        <f t="shared" si="442"/>
        <v>7.835752091743306E-2</v>
      </c>
      <c r="BD263" s="147">
        <f t="shared" si="473"/>
        <v>0</v>
      </c>
      <c r="BQ263" s="463">
        <f t="shared" si="474"/>
        <v>1.7954000000000001E-2</v>
      </c>
      <c r="CG263" s="59">
        <f t="shared" si="475"/>
        <v>-50</v>
      </c>
      <c r="CH263">
        <f t="shared" si="476"/>
        <v>-50</v>
      </c>
    </row>
    <row r="264" spans="5:86" x14ac:dyDescent="0.25">
      <c r="E264" s="150">
        <v>48</v>
      </c>
      <c r="F264" s="191">
        <f t="shared" si="477"/>
        <v>4.8000000000000001E-2</v>
      </c>
      <c r="G264" s="191"/>
      <c r="H264" s="191">
        <f t="shared" si="443"/>
        <v>0.96</v>
      </c>
      <c r="I264" s="472">
        <f t="shared" si="444"/>
        <v>21</v>
      </c>
      <c r="J264" s="386">
        <f t="shared" si="445"/>
        <v>20.32</v>
      </c>
      <c r="K264" s="386">
        <f t="shared" si="446"/>
        <v>41.32</v>
      </c>
      <c r="L264" s="386"/>
      <c r="M264" s="191">
        <f t="shared" si="447"/>
        <v>0.49177153920619554</v>
      </c>
      <c r="N264" s="152">
        <f t="shared" si="448"/>
        <v>3.5049491965150041</v>
      </c>
      <c r="O264" s="152">
        <f t="shared" si="478"/>
        <v>0.96</v>
      </c>
      <c r="P264" s="191">
        <f t="shared" si="449"/>
        <v>0.17524745982575021</v>
      </c>
      <c r="Q264" s="191">
        <f t="shared" si="450"/>
        <v>20</v>
      </c>
      <c r="R264" s="191"/>
      <c r="S264" s="152">
        <f t="shared" si="451"/>
        <v>126.70915124301581</v>
      </c>
      <c r="T264" s="152">
        <f t="shared" si="452"/>
        <v>20</v>
      </c>
      <c r="U264" s="191">
        <f t="shared" si="453"/>
        <v>0.20657417822772151</v>
      </c>
      <c r="V264" s="191">
        <f t="shared" si="454"/>
        <v>1.4755298444837248</v>
      </c>
      <c r="W264" s="191">
        <f t="shared" si="455"/>
        <v>1.5249078117203849</v>
      </c>
      <c r="X264" s="175">
        <f t="shared" si="456"/>
        <v>350</v>
      </c>
      <c r="Y264" s="386">
        <f t="shared" si="418"/>
        <v>333.28471195935873</v>
      </c>
      <c r="AA264" s="191">
        <f t="shared" si="457"/>
        <v>0.19670861568247827</v>
      </c>
      <c r="AB264" s="153">
        <f t="shared" si="458"/>
        <v>1.4520813165537272</v>
      </c>
      <c r="AC264" s="153">
        <f t="shared" si="459"/>
        <v>4.9986458486592979E-2</v>
      </c>
      <c r="AD264" s="153"/>
      <c r="AE264" s="153">
        <f t="shared" si="460"/>
        <v>1.1072834645669289</v>
      </c>
      <c r="AF264" s="317">
        <f t="shared" si="461"/>
        <v>577.99111111111108</v>
      </c>
      <c r="AG264" s="463">
        <f t="shared" si="462"/>
        <v>2.9066190944881887E-2</v>
      </c>
      <c r="AI264" s="153">
        <f t="shared" si="463"/>
        <v>0.19276039901538758</v>
      </c>
      <c r="AJ264" s="153">
        <f t="shared" si="464"/>
        <v>0.19276039901538758</v>
      </c>
      <c r="AK264" s="153">
        <f t="shared" si="465"/>
        <v>1.2285069326769249</v>
      </c>
      <c r="AM264" s="317">
        <f t="shared" si="466"/>
        <v>48</v>
      </c>
      <c r="AN264" s="147">
        <f t="shared" si="467"/>
        <v>333.28471195935873</v>
      </c>
      <c r="AP264">
        <f t="shared" si="468"/>
        <v>48</v>
      </c>
      <c r="AQ264">
        <f t="shared" si="469"/>
        <v>333.28471195935873</v>
      </c>
      <c r="AS264" s="5">
        <f t="shared" si="479"/>
        <v>3.0004376562041091</v>
      </c>
      <c r="AT264" s="5">
        <f t="shared" si="470"/>
        <v>1.3768599929670542</v>
      </c>
      <c r="AU264" s="5">
        <f t="shared" si="440"/>
        <v>1.6235776632370549</v>
      </c>
      <c r="AV264" s="5"/>
      <c r="AW264" s="153">
        <f t="shared" si="441"/>
        <v>0.45888638616438937</v>
      </c>
      <c r="AX264" s="153"/>
      <c r="BA264" s="147">
        <f t="shared" si="471"/>
        <v>5.8677073027355267</v>
      </c>
      <c r="BB264" s="147">
        <f t="shared" si="472"/>
        <v>3.8659489959183668</v>
      </c>
      <c r="BC264" s="5">
        <f t="shared" si="442"/>
        <v>8.2467436862834531E-2</v>
      </c>
      <c r="BD264" s="147">
        <f t="shared" si="473"/>
        <v>0</v>
      </c>
      <c r="BQ264" s="463">
        <f t="shared" si="474"/>
        <v>1.8336000000000002E-2</v>
      </c>
      <c r="CG264" s="59">
        <f t="shared" si="475"/>
        <v>-50</v>
      </c>
      <c r="CH264">
        <f t="shared" si="476"/>
        <v>-50</v>
      </c>
    </row>
    <row r="265" spans="5:86" x14ac:dyDescent="0.25">
      <c r="E265" s="150">
        <v>49</v>
      </c>
      <c r="F265" s="191">
        <f t="shared" si="477"/>
        <v>4.9000000000000002E-2</v>
      </c>
      <c r="G265" s="191"/>
      <c r="H265" s="191">
        <f t="shared" si="443"/>
        <v>0.98</v>
      </c>
      <c r="I265" s="472">
        <f t="shared" si="444"/>
        <v>21</v>
      </c>
      <c r="J265" s="386">
        <f t="shared" si="445"/>
        <v>20.32</v>
      </c>
      <c r="K265" s="386">
        <f t="shared" si="446"/>
        <v>41.32</v>
      </c>
      <c r="L265" s="386"/>
      <c r="M265" s="191">
        <f t="shared" si="447"/>
        <v>0.49177153920619554</v>
      </c>
      <c r="N265" s="152">
        <f t="shared" si="448"/>
        <v>3.5049491965150041</v>
      </c>
      <c r="O265" s="152">
        <f t="shared" si="478"/>
        <v>0.98</v>
      </c>
      <c r="P265" s="191">
        <f t="shared" si="449"/>
        <v>0.17524745982575021</v>
      </c>
      <c r="Q265" s="191">
        <f t="shared" si="450"/>
        <v>20</v>
      </c>
      <c r="R265" s="191"/>
      <c r="S265" s="152">
        <f t="shared" si="451"/>
        <v>123.69704324360781</v>
      </c>
      <c r="T265" s="152">
        <f t="shared" si="452"/>
        <v>20</v>
      </c>
      <c r="U265" s="191">
        <f t="shared" si="453"/>
        <v>0.21087780694079905</v>
      </c>
      <c r="V265" s="191">
        <f t="shared" si="454"/>
        <v>1.5062700495771359</v>
      </c>
      <c r="W265" s="191">
        <f t="shared" si="455"/>
        <v>1.5566767244645598</v>
      </c>
      <c r="X265" s="175">
        <f t="shared" si="456"/>
        <v>350</v>
      </c>
      <c r="Y265" s="386">
        <f t="shared" si="418"/>
        <v>326.48298314386153</v>
      </c>
      <c r="AA265" s="191">
        <f t="shared" si="457"/>
        <v>0.19670861568247827</v>
      </c>
      <c r="AB265" s="153">
        <f t="shared" si="458"/>
        <v>1.4520813165537272</v>
      </c>
      <c r="AC265" s="153">
        <f t="shared" si="459"/>
        <v>4.9986458486592979E-2</v>
      </c>
      <c r="AD265" s="153"/>
      <c r="AE265" s="153">
        <f t="shared" si="460"/>
        <v>1.1072834645669289</v>
      </c>
      <c r="AF265" s="317">
        <f t="shared" si="461"/>
        <v>590.03259259259266</v>
      </c>
      <c r="AG265" s="463">
        <f t="shared" si="462"/>
        <v>2.9066190944881887E-2</v>
      </c>
      <c r="AI265" s="153">
        <f t="shared" si="463"/>
        <v>0.19475796945610896</v>
      </c>
      <c r="AJ265" s="153">
        <f t="shared" si="464"/>
        <v>0.19475796945610896</v>
      </c>
      <c r="AK265" s="153">
        <f t="shared" si="465"/>
        <v>1.2298386463040727</v>
      </c>
      <c r="AM265" s="317">
        <f t="shared" si="466"/>
        <v>49</v>
      </c>
      <c r="AN265" s="147">
        <f t="shared" si="467"/>
        <v>326.48298314386153</v>
      </c>
      <c r="AP265">
        <f t="shared" si="468"/>
        <v>49</v>
      </c>
      <c r="AQ265">
        <f t="shared" si="469"/>
        <v>326.48298314386153</v>
      </c>
      <c r="AS265" s="5">
        <f t="shared" si="479"/>
        <v>3.0629467740416958</v>
      </c>
      <c r="AT265" s="5">
        <f t="shared" si="470"/>
        <v>1.3911283532579211</v>
      </c>
      <c r="AU265" s="5">
        <f t="shared" si="440"/>
        <v>1.6718184207837747</v>
      </c>
      <c r="AV265" s="5"/>
      <c r="AW265" s="153">
        <f t="shared" si="441"/>
        <v>0.45417973470765366</v>
      </c>
      <c r="AX265" s="153"/>
      <c r="BA265" s="147">
        <f t="shared" si="471"/>
        <v>5.8677073027355267</v>
      </c>
      <c r="BB265" s="147">
        <f t="shared" si="472"/>
        <v>4.0256456333333333</v>
      </c>
      <c r="BC265" s="5">
        <f t="shared" si="442"/>
        <v>8.6686881077677205E-2</v>
      </c>
      <c r="BD265" s="147">
        <f t="shared" si="473"/>
        <v>0</v>
      </c>
      <c r="BQ265" s="463">
        <f t="shared" si="474"/>
        <v>1.8718000000000002E-2</v>
      </c>
      <c r="CG265" s="59">
        <f t="shared" si="475"/>
        <v>-50</v>
      </c>
      <c r="CH265">
        <f t="shared" si="476"/>
        <v>-50</v>
      </c>
    </row>
    <row r="266" spans="5:86" x14ac:dyDescent="0.25">
      <c r="E266" s="150">
        <v>50</v>
      </c>
      <c r="F266" s="191">
        <f t="shared" si="477"/>
        <v>0.05</v>
      </c>
      <c r="G266" s="191"/>
      <c r="H266" s="191">
        <f t="shared" si="443"/>
        <v>1</v>
      </c>
      <c r="I266" s="472">
        <f t="shared" si="444"/>
        <v>21</v>
      </c>
      <c r="J266" s="386">
        <f t="shared" si="445"/>
        <v>20.32</v>
      </c>
      <c r="K266" s="386">
        <f t="shared" si="446"/>
        <v>41.32</v>
      </c>
      <c r="L266" s="386"/>
      <c r="M266" s="191">
        <f t="shared" si="447"/>
        <v>0.49177153920619554</v>
      </c>
      <c r="N266" s="152">
        <f t="shared" si="448"/>
        <v>3.5049491965150041</v>
      </c>
      <c r="O266" s="152">
        <f t="shared" si="478"/>
        <v>1</v>
      </c>
      <c r="P266" s="191">
        <f t="shared" si="449"/>
        <v>0.17524745982575021</v>
      </c>
      <c r="Q266" s="191">
        <f t="shared" si="450"/>
        <v>20</v>
      </c>
      <c r="R266" s="191"/>
      <c r="S266" s="152">
        <f t="shared" si="451"/>
        <v>120.80547965646088</v>
      </c>
      <c r="T266" s="152">
        <f t="shared" si="452"/>
        <v>20</v>
      </c>
      <c r="U266" s="191">
        <f t="shared" si="453"/>
        <v>0.2151814356538766</v>
      </c>
      <c r="V266" s="191">
        <f t="shared" si="454"/>
        <v>1.5370102546705469</v>
      </c>
      <c r="W266" s="191">
        <f t="shared" si="455"/>
        <v>1.5884456372087346</v>
      </c>
      <c r="X266" s="175">
        <f t="shared" si="456"/>
        <v>350</v>
      </c>
      <c r="Y266" s="386">
        <f t="shared" si="418"/>
        <v>319.9533234809843</v>
      </c>
      <c r="AA266" s="191">
        <f t="shared" si="457"/>
        <v>0.19670861568247827</v>
      </c>
      <c r="AB266" s="153">
        <f t="shared" si="458"/>
        <v>1.4520813165537272</v>
      </c>
      <c r="AC266" s="153">
        <f t="shared" si="459"/>
        <v>4.9986458486592979E-2</v>
      </c>
      <c r="AD266" s="153"/>
      <c r="AE266" s="153">
        <f t="shared" si="460"/>
        <v>1.1072834645669289</v>
      </c>
      <c r="AF266" s="317">
        <f t="shared" si="461"/>
        <v>602.07407407407413</v>
      </c>
      <c r="AG266" s="463">
        <f t="shared" si="462"/>
        <v>2.9066190944881887E-2</v>
      </c>
      <c r="AI266" s="153">
        <f t="shared" si="463"/>
        <v>0.19673525841791023</v>
      </c>
      <c r="AJ266" s="153">
        <f t="shared" si="464"/>
        <v>0.2151814356538766</v>
      </c>
      <c r="AK266" s="153">
        <f t="shared" si="465"/>
        <v>1.2434542904359176</v>
      </c>
      <c r="AM266" s="317">
        <f t="shared" si="466"/>
        <v>50</v>
      </c>
      <c r="AN266" s="147">
        <f t="shared" si="467"/>
        <v>319.9533234809843</v>
      </c>
      <c r="AP266">
        <f t="shared" si="468"/>
        <v>50</v>
      </c>
      <c r="AQ266">
        <f t="shared" si="469"/>
        <v>319.9533234809843</v>
      </c>
      <c r="AS266" s="5">
        <f t="shared" si="479"/>
        <v>3.1254558918792816</v>
      </c>
      <c r="AT266" s="5">
        <f t="shared" si="470"/>
        <v>1.5370102546705469</v>
      </c>
      <c r="AU266" s="5">
        <f t="shared" si="440"/>
        <v>1.5884456372087348</v>
      </c>
      <c r="AV266" s="5"/>
      <c r="AW266" s="153">
        <f t="shared" si="441"/>
        <v>0.49177153920619548</v>
      </c>
      <c r="AX266" s="153"/>
      <c r="BA266" s="147">
        <f t="shared" si="471"/>
        <v>5.8677073027355267</v>
      </c>
      <c r="BB266" s="147">
        <f t="shared" si="472"/>
        <v>4.1885731292517017</v>
      </c>
      <c r="BC266" s="5">
        <f t="shared" si="442"/>
        <v>8.4044742709456874E-2</v>
      </c>
      <c r="BD266" s="147">
        <f t="shared" si="473"/>
        <v>0</v>
      </c>
      <c r="BQ266" s="463">
        <f t="shared" si="474"/>
        <v>1.9100000000000002E-2</v>
      </c>
      <c r="CG266" s="59">
        <f t="shared" si="475"/>
        <v>-50</v>
      </c>
      <c r="CH266">
        <f t="shared" si="476"/>
        <v>-50</v>
      </c>
    </row>
    <row r="267" spans="5:86" x14ac:dyDescent="0.25">
      <c r="E267" s="150">
        <v>51</v>
      </c>
      <c r="F267" s="191">
        <f t="shared" si="477"/>
        <v>5.1000000000000004E-2</v>
      </c>
      <c r="G267" s="191"/>
      <c r="H267" s="191">
        <f t="shared" si="443"/>
        <v>1.02</v>
      </c>
      <c r="I267" s="472">
        <f t="shared" si="444"/>
        <v>21</v>
      </c>
      <c r="J267" s="386">
        <f t="shared" si="445"/>
        <v>20.32</v>
      </c>
      <c r="K267" s="386">
        <f t="shared" si="446"/>
        <v>41.32</v>
      </c>
      <c r="L267" s="386"/>
      <c r="M267" s="191">
        <f t="shared" si="447"/>
        <v>0.49177153920619554</v>
      </c>
      <c r="N267" s="152">
        <f t="shared" si="448"/>
        <v>3.5049491965150041</v>
      </c>
      <c r="O267" s="152">
        <f t="shared" si="478"/>
        <v>1.02</v>
      </c>
      <c r="P267" s="191">
        <f t="shared" si="449"/>
        <v>0.17524745982575021</v>
      </c>
      <c r="Q267" s="191">
        <f t="shared" si="450"/>
        <v>20</v>
      </c>
      <c r="R267" s="191"/>
      <c r="S267" s="152">
        <f t="shared" si="451"/>
        <v>118.02737023211263</v>
      </c>
      <c r="T267" s="152">
        <f t="shared" si="452"/>
        <v>20</v>
      </c>
      <c r="U267" s="191">
        <f t="shared" si="453"/>
        <v>0.21948506436695411</v>
      </c>
      <c r="V267" s="191">
        <f t="shared" si="454"/>
        <v>1.5677504597639578</v>
      </c>
      <c r="W267" s="191">
        <f t="shared" si="455"/>
        <v>1.6202145499529093</v>
      </c>
      <c r="X267" s="175">
        <f t="shared" si="456"/>
        <v>350</v>
      </c>
      <c r="Y267" s="386">
        <f t="shared" si="418"/>
        <v>313.67972890292577</v>
      </c>
      <c r="AA267" s="191">
        <f t="shared" si="457"/>
        <v>0.19670861568247827</v>
      </c>
      <c r="AB267" s="153">
        <f t="shared" si="458"/>
        <v>1.4520813165537272</v>
      </c>
      <c r="AC267" s="153">
        <f t="shared" si="459"/>
        <v>4.9986458486592979E-2</v>
      </c>
      <c r="AD267" s="153"/>
      <c r="AE267" s="153">
        <f t="shared" si="460"/>
        <v>1.1072834645669289</v>
      </c>
      <c r="AF267" s="317">
        <f t="shared" si="461"/>
        <v>614.1155555555556</v>
      </c>
      <c r="AG267" s="463">
        <f t="shared" si="462"/>
        <v>2.9066190944881887E-2</v>
      </c>
      <c r="AI267" s="153">
        <f t="shared" si="463"/>
        <v>0.19869287139416236</v>
      </c>
      <c r="AJ267" s="153">
        <f t="shared" si="464"/>
        <v>0.21948506436695411</v>
      </c>
      <c r="AK267" s="153">
        <f t="shared" si="465"/>
        <v>1.246323376244636</v>
      </c>
      <c r="AM267" s="317">
        <f t="shared" si="466"/>
        <v>51.000000000000007</v>
      </c>
      <c r="AN267" s="147">
        <f t="shared" si="467"/>
        <v>313.67972890292577</v>
      </c>
      <c r="AP267">
        <f t="shared" si="468"/>
        <v>51.000000000000007</v>
      </c>
      <c r="AQ267">
        <f t="shared" si="469"/>
        <v>313.67972890292577</v>
      </c>
      <c r="AS267" s="5">
        <f t="shared" si="479"/>
        <v>3.187965009716867</v>
      </c>
      <c r="AT267" s="5">
        <f t="shared" si="470"/>
        <v>1.5677504597639578</v>
      </c>
      <c r="AU267" s="5">
        <f t="shared" si="440"/>
        <v>1.6202145499529093</v>
      </c>
      <c r="AV267" s="5"/>
      <c r="AW267" s="153">
        <f t="shared" si="441"/>
        <v>0.49177153920619554</v>
      </c>
      <c r="AX267" s="153"/>
      <c r="BA267" s="147">
        <f t="shared" si="471"/>
        <v>5.8677073027355267</v>
      </c>
      <c r="BB267" s="147">
        <f t="shared" si="472"/>
        <v>4.3547314836734703</v>
      </c>
      <c r="BC267" s="5">
        <f t="shared" si="442"/>
        <v>8.7440150314918905E-2</v>
      </c>
      <c r="BD267" s="147">
        <f t="shared" si="473"/>
        <v>0</v>
      </c>
      <c r="BQ267" s="463">
        <f t="shared" si="474"/>
        <v>1.9481999999999999E-2</v>
      </c>
      <c r="CG267" s="59">
        <f t="shared" si="475"/>
        <v>-50</v>
      </c>
      <c r="CH267">
        <f t="shared" si="476"/>
        <v>-50</v>
      </c>
    </row>
    <row r="268" spans="5:86" x14ac:dyDescent="0.25">
      <c r="E268" s="150">
        <v>52</v>
      </c>
      <c r="F268" s="191">
        <f t="shared" si="477"/>
        <v>5.2000000000000005E-2</v>
      </c>
      <c r="G268" s="191"/>
      <c r="H268" s="191">
        <f t="shared" si="443"/>
        <v>1.04</v>
      </c>
      <c r="I268" s="472">
        <f t="shared" si="444"/>
        <v>21</v>
      </c>
      <c r="J268" s="386">
        <f t="shared" si="445"/>
        <v>20.32</v>
      </c>
      <c r="K268" s="386">
        <f t="shared" si="446"/>
        <v>41.32</v>
      </c>
      <c r="L268" s="386"/>
      <c r="M268" s="191">
        <f t="shared" si="447"/>
        <v>0.49177153920619554</v>
      </c>
      <c r="N268" s="152">
        <f t="shared" si="448"/>
        <v>3.5049491965150041</v>
      </c>
      <c r="O268" s="152">
        <f t="shared" si="478"/>
        <v>1.04</v>
      </c>
      <c r="P268" s="191">
        <f t="shared" si="449"/>
        <v>0.17524745982575021</v>
      </c>
      <c r="Q268" s="191">
        <f t="shared" si="450"/>
        <v>20</v>
      </c>
      <c r="R268" s="191"/>
      <c r="S268" s="152">
        <f t="shared" si="451"/>
        <v>115.35617013270074</v>
      </c>
      <c r="T268" s="152">
        <f t="shared" si="452"/>
        <v>20</v>
      </c>
      <c r="U268" s="191">
        <f t="shared" si="453"/>
        <v>0.22378869308003166</v>
      </c>
      <c r="V268" s="191">
        <f t="shared" si="454"/>
        <v>1.5984906648573687</v>
      </c>
      <c r="W268" s="191">
        <f t="shared" si="455"/>
        <v>1.651983462697084</v>
      </c>
      <c r="X268" s="175">
        <f t="shared" si="456"/>
        <v>350</v>
      </c>
      <c r="Y268" s="386">
        <f t="shared" si="418"/>
        <v>307.64742642402331</v>
      </c>
      <c r="AA268" s="191">
        <f t="shared" si="457"/>
        <v>0.19670861568247827</v>
      </c>
      <c r="AB268" s="153">
        <f t="shared" si="458"/>
        <v>1.4520813165537272</v>
      </c>
      <c r="AC268" s="153">
        <f t="shared" si="459"/>
        <v>4.9986458486592979E-2</v>
      </c>
      <c r="AD268" s="153"/>
      <c r="AE268" s="153">
        <f t="shared" si="460"/>
        <v>1.1072834645669289</v>
      </c>
      <c r="AF268" s="317">
        <f t="shared" si="461"/>
        <v>626.15703703703707</v>
      </c>
      <c r="AG268" s="463">
        <f t="shared" si="462"/>
        <v>2.9066190944881887E-2</v>
      </c>
      <c r="AI268" s="153">
        <f t="shared" si="463"/>
        <v>0.20063138433692868</v>
      </c>
      <c r="AJ268" s="153">
        <f t="shared" si="464"/>
        <v>0.22378869308003166</v>
      </c>
      <c r="AK268" s="153">
        <f t="shared" si="465"/>
        <v>1.2491924620533543</v>
      </c>
      <c r="AM268" s="317">
        <f t="shared" si="466"/>
        <v>52.000000000000007</v>
      </c>
      <c r="AN268" s="147">
        <f t="shared" si="467"/>
        <v>307.64742642402331</v>
      </c>
      <c r="AP268">
        <f t="shared" si="468"/>
        <v>52.000000000000007</v>
      </c>
      <c r="AQ268">
        <f t="shared" si="469"/>
        <v>307.64742642402331</v>
      </c>
      <c r="AS268" s="5">
        <f t="shared" si="479"/>
        <v>3.2504741275544533</v>
      </c>
      <c r="AT268" s="5">
        <f t="shared" si="470"/>
        <v>1.5984906648573687</v>
      </c>
      <c r="AU268" s="5">
        <f t="shared" si="440"/>
        <v>1.6519834626970846</v>
      </c>
      <c r="AV268" s="5"/>
      <c r="AW268" s="153">
        <f t="shared" si="441"/>
        <v>0.49177153920619543</v>
      </c>
      <c r="AX268" s="153"/>
      <c r="BA268" s="147">
        <f t="shared" si="471"/>
        <v>5.8677073027355267</v>
      </c>
      <c r="BB268" s="147">
        <f t="shared" si="472"/>
        <v>4.52412069659864</v>
      </c>
      <c r="BC268" s="5">
        <f t="shared" si="442"/>
        <v>9.0902793714548583E-2</v>
      </c>
      <c r="BD268" s="147">
        <f t="shared" si="473"/>
        <v>0</v>
      </c>
      <c r="BQ268" s="463">
        <f t="shared" si="474"/>
        <v>1.9864000000000003E-2</v>
      </c>
      <c r="CG268" s="59">
        <f t="shared" si="475"/>
        <v>-50</v>
      </c>
      <c r="CH268">
        <f t="shared" si="476"/>
        <v>-50</v>
      </c>
    </row>
    <row r="269" spans="5:86" x14ac:dyDescent="0.25">
      <c r="E269" s="150">
        <v>53</v>
      </c>
      <c r="F269" s="191">
        <f t="shared" si="477"/>
        <v>5.3000000000000005E-2</v>
      </c>
      <c r="G269" s="191"/>
      <c r="H269" s="191">
        <f t="shared" si="443"/>
        <v>1.06</v>
      </c>
      <c r="I269" s="472">
        <f t="shared" si="444"/>
        <v>21</v>
      </c>
      <c r="J269" s="386">
        <f t="shared" si="445"/>
        <v>20.32</v>
      </c>
      <c r="K269" s="386">
        <f t="shared" si="446"/>
        <v>41.32</v>
      </c>
      <c r="L269" s="386"/>
      <c r="M269" s="191">
        <f t="shared" si="447"/>
        <v>0.49177153920619554</v>
      </c>
      <c r="N269" s="152">
        <f t="shared" si="448"/>
        <v>3.5049491965150041</v>
      </c>
      <c r="O269" s="152">
        <f t="shared" si="478"/>
        <v>1.06</v>
      </c>
      <c r="P269" s="191">
        <f t="shared" si="449"/>
        <v>0.17524745982575021</v>
      </c>
      <c r="Q269" s="191">
        <f t="shared" si="450"/>
        <v>20</v>
      </c>
      <c r="R269" s="191"/>
      <c r="S269" s="152">
        <f t="shared" si="451"/>
        <v>112.7858284781627</v>
      </c>
      <c r="T269" s="152">
        <f t="shared" si="452"/>
        <v>20</v>
      </c>
      <c r="U269" s="191">
        <f t="shared" si="453"/>
        <v>0.2280923217931092</v>
      </c>
      <c r="V269" s="191">
        <f t="shared" si="454"/>
        <v>1.62923086995078</v>
      </c>
      <c r="W269" s="191">
        <f t="shared" si="455"/>
        <v>1.6837523754412589</v>
      </c>
      <c r="X269" s="175">
        <f t="shared" si="456"/>
        <v>350</v>
      </c>
      <c r="Y269" s="386">
        <f t="shared" si="418"/>
        <v>301.84275800092854</v>
      </c>
      <c r="AA269" s="191">
        <f t="shared" si="457"/>
        <v>0.19670861568247827</v>
      </c>
      <c r="AB269" s="153">
        <f t="shared" si="458"/>
        <v>1.4520813165537272</v>
      </c>
      <c r="AC269" s="153">
        <f t="shared" si="459"/>
        <v>4.9986458486592979E-2</v>
      </c>
      <c r="AD269" s="153"/>
      <c r="AE269" s="153">
        <f t="shared" si="460"/>
        <v>1.1072834645669289</v>
      </c>
      <c r="AF269" s="317">
        <f t="shared" si="461"/>
        <v>638.19851851851865</v>
      </c>
      <c r="AG269" s="463">
        <f t="shared" si="462"/>
        <v>2.9066190944881887E-2</v>
      </c>
      <c r="AI269" s="153">
        <f t="shared" si="463"/>
        <v>0.20255134563623028</v>
      </c>
      <c r="AJ269" s="153">
        <f t="shared" si="464"/>
        <v>0.2280923217931092</v>
      </c>
      <c r="AK269" s="153">
        <f t="shared" si="465"/>
        <v>1.2520615478620727</v>
      </c>
      <c r="AM269" s="317">
        <f t="shared" si="466"/>
        <v>53.000000000000007</v>
      </c>
      <c r="AN269" s="147">
        <f t="shared" si="467"/>
        <v>301.84275800092854</v>
      </c>
      <c r="AP269">
        <f t="shared" si="468"/>
        <v>53.000000000000007</v>
      </c>
      <c r="AQ269">
        <f t="shared" si="469"/>
        <v>301.84275800092854</v>
      </c>
      <c r="AS269" s="5">
        <f t="shared" si="479"/>
        <v>3.3129832453920387</v>
      </c>
      <c r="AT269" s="5">
        <f t="shared" si="470"/>
        <v>1.62923086995078</v>
      </c>
      <c r="AU269" s="5">
        <f t="shared" si="440"/>
        <v>1.6837523754412587</v>
      </c>
      <c r="AV269" s="5"/>
      <c r="AW269" s="153">
        <f t="shared" si="441"/>
        <v>0.4917715392061956</v>
      </c>
      <c r="AX269" s="153"/>
      <c r="BA269" s="147">
        <f t="shared" si="471"/>
        <v>5.8677073027355267</v>
      </c>
      <c r="BB269" s="147">
        <f t="shared" si="472"/>
        <v>4.6967407680272117</v>
      </c>
      <c r="BC269" s="5">
        <f t="shared" si="442"/>
        <v>9.4432672908345727E-2</v>
      </c>
      <c r="BD269" s="147">
        <f t="shared" si="473"/>
        <v>0</v>
      </c>
      <c r="BQ269" s="463">
        <f t="shared" si="474"/>
        <v>2.0246000000000004E-2</v>
      </c>
      <c r="CG269" s="59">
        <f t="shared" si="475"/>
        <v>-50</v>
      </c>
      <c r="CH269">
        <f t="shared" si="476"/>
        <v>-50</v>
      </c>
    </row>
    <row r="270" spans="5:86" x14ac:dyDescent="0.25">
      <c r="E270" s="150">
        <v>54</v>
      </c>
      <c r="F270" s="191">
        <f t="shared" si="477"/>
        <v>5.4000000000000006E-2</v>
      </c>
      <c r="G270" s="191"/>
      <c r="H270" s="191">
        <f t="shared" si="443"/>
        <v>1.08</v>
      </c>
      <c r="I270" s="472">
        <f t="shared" si="444"/>
        <v>21</v>
      </c>
      <c r="J270" s="386">
        <f t="shared" si="445"/>
        <v>20.32</v>
      </c>
      <c r="K270" s="386">
        <f t="shared" si="446"/>
        <v>41.32</v>
      </c>
      <c r="L270" s="386"/>
      <c r="M270" s="191">
        <f t="shared" si="447"/>
        <v>0.49177153920619554</v>
      </c>
      <c r="N270" s="152">
        <f t="shared" si="448"/>
        <v>3.5049491965150041</v>
      </c>
      <c r="O270" s="152">
        <f t="shared" si="478"/>
        <v>1.08</v>
      </c>
      <c r="P270" s="191">
        <f t="shared" si="449"/>
        <v>0.17524745982575021</v>
      </c>
      <c r="Q270" s="191">
        <f t="shared" si="450"/>
        <v>20</v>
      </c>
      <c r="R270" s="191"/>
      <c r="S270" s="152">
        <f t="shared" si="451"/>
        <v>110.31074260952688</v>
      </c>
      <c r="T270" s="152">
        <f t="shared" si="452"/>
        <v>20</v>
      </c>
      <c r="U270" s="191">
        <f t="shared" si="453"/>
        <v>0.23239595050618672</v>
      </c>
      <c r="V270" s="191">
        <f t="shared" si="454"/>
        <v>1.6599710750441905</v>
      </c>
      <c r="W270" s="191">
        <f t="shared" si="455"/>
        <v>1.7155212881854331</v>
      </c>
      <c r="X270" s="175">
        <f t="shared" si="456"/>
        <v>350</v>
      </c>
      <c r="Y270" s="386">
        <f t="shared" si="418"/>
        <v>296.25307729720765</v>
      </c>
      <c r="AA270" s="191">
        <f t="shared" si="457"/>
        <v>0.19670861568247827</v>
      </c>
      <c r="AB270" s="153">
        <f t="shared" si="458"/>
        <v>1.4520813165537272</v>
      </c>
      <c r="AC270" s="153">
        <f t="shared" si="459"/>
        <v>4.9986458486592979E-2</v>
      </c>
      <c r="AD270" s="153"/>
      <c r="AE270" s="153">
        <f t="shared" si="460"/>
        <v>1.1072834645669289</v>
      </c>
      <c r="AF270" s="317">
        <f t="shared" si="461"/>
        <v>650.24000000000012</v>
      </c>
      <c r="AG270" s="463">
        <f t="shared" si="462"/>
        <v>2.9066190944881887E-2</v>
      </c>
      <c r="AI270" s="153">
        <f t="shared" si="463"/>
        <v>0.2044532779320079</v>
      </c>
      <c r="AJ270" s="153">
        <f t="shared" si="464"/>
        <v>0.23239595050618672</v>
      </c>
      <c r="AK270" s="153">
        <f t="shared" si="465"/>
        <v>1.2549306336707911</v>
      </c>
      <c r="AM270" s="317">
        <f t="shared" si="466"/>
        <v>54.000000000000007</v>
      </c>
      <c r="AN270" s="147">
        <f t="shared" si="467"/>
        <v>296.25307729720765</v>
      </c>
      <c r="AP270">
        <f t="shared" si="468"/>
        <v>54.000000000000007</v>
      </c>
      <c r="AQ270">
        <f t="shared" si="469"/>
        <v>296.25307729720765</v>
      </c>
      <c r="AS270" s="5">
        <f t="shared" si="479"/>
        <v>3.3754923632296241</v>
      </c>
      <c r="AT270" s="5">
        <f t="shared" si="470"/>
        <v>1.6599710750441905</v>
      </c>
      <c r="AU270" s="5">
        <f t="shared" si="440"/>
        <v>1.7155212881854336</v>
      </c>
      <c r="AV270" s="5"/>
      <c r="AW270" s="153">
        <f t="shared" si="441"/>
        <v>0.49177153920619548</v>
      </c>
      <c r="AX270" s="153"/>
      <c r="BA270" s="147">
        <f t="shared" si="471"/>
        <v>5.8677073027355267</v>
      </c>
      <c r="BB270" s="147">
        <f t="shared" si="472"/>
        <v>4.8725916979591837</v>
      </c>
      <c r="BC270" s="5">
        <f t="shared" si="442"/>
        <v>9.8029787896310491E-2</v>
      </c>
      <c r="BD270" s="147">
        <f t="shared" si="473"/>
        <v>0</v>
      </c>
      <c r="BQ270" s="463">
        <f t="shared" si="474"/>
        <v>2.0628000000000004E-2</v>
      </c>
      <c r="CG270" s="59">
        <f t="shared" si="475"/>
        <v>-50</v>
      </c>
      <c r="CH270">
        <f t="shared" si="476"/>
        <v>-50</v>
      </c>
    </row>
    <row r="271" spans="5:86" x14ac:dyDescent="0.25">
      <c r="E271" s="150">
        <v>55</v>
      </c>
      <c r="F271" s="191">
        <f t="shared" si="477"/>
        <v>5.5000000000000007E-2</v>
      </c>
      <c r="G271" s="191"/>
      <c r="H271" s="191">
        <f t="shared" si="443"/>
        <v>1.1000000000000001</v>
      </c>
      <c r="I271" s="472">
        <f t="shared" si="444"/>
        <v>21</v>
      </c>
      <c r="J271" s="386">
        <f t="shared" si="445"/>
        <v>20.32</v>
      </c>
      <c r="K271" s="386">
        <f t="shared" si="446"/>
        <v>41.32</v>
      </c>
      <c r="L271" s="386"/>
      <c r="M271" s="191">
        <f t="shared" si="447"/>
        <v>0.49177153920619554</v>
      </c>
      <c r="N271" s="152">
        <f t="shared" si="448"/>
        <v>3.5049491965150041</v>
      </c>
      <c r="O271" s="152">
        <f t="shared" si="478"/>
        <v>1.1000000000000001</v>
      </c>
      <c r="P271" s="191">
        <f t="shared" si="449"/>
        <v>0.17524745982575021</v>
      </c>
      <c r="Q271" s="191">
        <f t="shared" si="450"/>
        <v>20</v>
      </c>
      <c r="R271" s="191"/>
      <c r="S271" s="152">
        <f t="shared" si="451"/>
        <v>107.92571734166516</v>
      </c>
      <c r="T271" s="152">
        <f t="shared" si="452"/>
        <v>20</v>
      </c>
      <c r="U271" s="191">
        <f t="shared" si="453"/>
        <v>0.23669957921926427</v>
      </c>
      <c r="V271" s="191">
        <f t="shared" si="454"/>
        <v>1.6907112801376019</v>
      </c>
      <c r="W271" s="191">
        <f t="shared" si="455"/>
        <v>1.7472902009296081</v>
      </c>
      <c r="X271" s="175">
        <f t="shared" si="456"/>
        <v>350</v>
      </c>
      <c r="Y271" s="386">
        <f t="shared" si="418"/>
        <v>290.8666577099857</v>
      </c>
      <c r="AA271" s="191">
        <f t="shared" si="457"/>
        <v>0.19670861568247827</v>
      </c>
      <c r="AB271" s="153">
        <f t="shared" si="458"/>
        <v>1.4520813165537272</v>
      </c>
      <c r="AC271" s="153">
        <f t="shared" si="459"/>
        <v>4.9986458486592979E-2</v>
      </c>
      <c r="AD271" s="153"/>
      <c r="AE271" s="153">
        <f t="shared" si="460"/>
        <v>1.1072834645669289</v>
      </c>
      <c r="AF271" s="317">
        <f t="shared" si="461"/>
        <v>662.28148148148159</v>
      </c>
      <c r="AG271" s="463">
        <f t="shared" si="462"/>
        <v>2.9066190944881887E-2</v>
      </c>
      <c r="AI271" s="153">
        <f t="shared" si="463"/>
        <v>0.20633767977574552</v>
      </c>
      <c r="AJ271" s="153">
        <f t="shared" si="464"/>
        <v>0.23669957921926427</v>
      </c>
      <c r="AK271" s="153">
        <f t="shared" si="465"/>
        <v>1.2577997194795094</v>
      </c>
      <c r="AM271" s="317">
        <f t="shared" si="466"/>
        <v>55.000000000000007</v>
      </c>
      <c r="AN271" s="147">
        <f t="shared" si="467"/>
        <v>290.8666577099857</v>
      </c>
      <c r="AP271">
        <f t="shared" si="468"/>
        <v>55.000000000000007</v>
      </c>
      <c r="AQ271">
        <f t="shared" si="469"/>
        <v>290.8666577099857</v>
      </c>
      <c r="AS271" s="5">
        <f t="shared" si="479"/>
        <v>3.4380014810672099</v>
      </c>
      <c r="AT271" s="5">
        <f t="shared" si="470"/>
        <v>1.6907112801376019</v>
      </c>
      <c r="AU271" s="5">
        <f t="shared" si="440"/>
        <v>1.7472902009296081</v>
      </c>
      <c r="AV271" s="5"/>
      <c r="AW271" s="153">
        <f t="shared" si="441"/>
        <v>0.49177153920619554</v>
      </c>
      <c r="AX271" s="153"/>
      <c r="BA271" s="147">
        <f t="shared" si="471"/>
        <v>5.8677073027355267</v>
      </c>
      <c r="BB271" s="147">
        <f t="shared" si="472"/>
        <v>5.0516734863945585</v>
      </c>
      <c r="BC271" s="5">
        <f t="shared" si="442"/>
        <v>0.10169413867844281</v>
      </c>
      <c r="BD271" s="147">
        <f t="shared" si="473"/>
        <v>0</v>
      </c>
      <c r="BQ271" s="463">
        <f t="shared" si="474"/>
        <v>2.1010000000000004E-2</v>
      </c>
      <c r="CG271" s="59">
        <f t="shared" si="475"/>
        <v>-50</v>
      </c>
      <c r="CH271">
        <f t="shared" si="476"/>
        <v>-50</v>
      </c>
    </row>
    <row r="272" spans="5:86" x14ac:dyDescent="0.25">
      <c r="E272" s="150">
        <v>56</v>
      </c>
      <c r="F272" s="191">
        <f t="shared" si="477"/>
        <v>5.6000000000000008E-2</v>
      </c>
      <c r="G272" s="191"/>
      <c r="H272" s="191">
        <f t="shared" si="443"/>
        <v>1.1200000000000001</v>
      </c>
      <c r="I272" s="472">
        <f t="shared" si="444"/>
        <v>21</v>
      </c>
      <c r="J272" s="386">
        <f t="shared" si="445"/>
        <v>20.32</v>
      </c>
      <c r="K272" s="386">
        <f t="shared" si="446"/>
        <v>41.32</v>
      </c>
      <c r="L272" s="386"/>
      <c r="M272" s="191">
        <f t="shared" si="447"/>
        <v>0.49177153920619554</v>
      </c>
      <c r="N272" s="152">
        <f t="shared" si="448"/>
        <v>3.5049491965150041</v>
      </c>
      <c r="O272" s="152">
        <f t="shared" si="478"/>
        <v>1.1200000000000001</v>
      </c>
      <c r="P272" s="191">
        <f t="shared" si="449"/>
        <v>0.17524745982575021</v>
      </c>
      <c r="Q272" s="191">
        <f t="shared" si="450"/>
        <v>20</v>
      </c>
      <c r="R272" s="191"/>
      <c r="S272" s="152">
        <f t="shared" si="451"/>
        <v>105.62592858182427</v>
      </c>
      <c r="T272" s="152">
        <f t="shared" si="452"/>
        <v>20</v>
      </c>
      <c r="U272" s="191">
        <f t="shared" si="453"/>
        <v>0.24100320793234178</v>
      </c>
      <c r="V272" s="191">
        <f t="shared" si="454"/>
        <v>1.7214514852310123</v>
      </c>
      <c r="W272" s="191">
        <f t="shared" si="455"/>
        <v>1.7790591136737826</v>
      </c>
      <c r="X272" s="175">
        <f t="shared" si="456"/>
        <v>350</v>
      </c>
      <c r="Y272" s="386">
        <f t="shared" si="418"/>
        <v>285.67261025087885</v>
      </c>
      <c r="AA272" s="191">
        <f t="shared" si="457"/>
        <v>0.19670861568247827</v>
      </c>
      <c r="AB272" s="153">
        <f t="shared" si="458"/>
        <v>1.4520813165537272</v>
      </c>
      <c r="AC272" s="153">
        <f t="shared" si="459"/>
        <v>4.9986458486592979E-2</v>
      </c>
      <c r="AD272" s="153"/>
      <c r="AE272" s="153">
        <f t="shared" si="460"/>
        <v>1.1072834645669289</v>
      </c>
      <c r="AF272" s="317">
        <f t="shared" si="461"/>
        <v>674.32296296296317</v>
      </c>
      <c r="AG272" s="463">
        <f t="shared" si="462"/>
        <v>2.9066190944881887E-2</v>
      </c>
      <c r="AI272" s="153">
        <f t="shared" si="463"/>
        <v>0.20820502715672679</v>
      </c>
      <c r="AJ272" s="153">
        <f t="shared" si="464"/>
        <v>0.24100320793234178</v>
      </c>
      <c r="AK272" s="153">
        <f t="shared" si="465"/>
        <v>1.2606688052882278</v>
      </c>
      <c r="AM272" s="317">
        <f t="shared" si="466"/>
        <v>56.000000000000007</v>
      </c>
      <c r="AN272" s="147">
        <f t="shared" si="467"/>
        <v>285.67261025087885</v>
      </c>
      <c r="AP272">
        <f t="shared" si="468"/>
        <v>56.000000000000007</v>
      </c>
      <c r="AQ272">
        <f t="shared" si="469"/>
        <v>285.67261025087885</v>
      </c>
      <c r="AS272" s="5">
        <f t="shared" si="479"/>
        <v>3.5005105989047953</v>
      </c>
      <c r="AT272" s="5">
        <f t="shared" si="470"/>
        <v>1.7214514852310123</v>
      </c>
      <c r="AU272" s="5">
        <f t="shared" si="440"/>
        <v>1.779059113673783</v>
      </c>
      <c r="AV272" s="5"/>
      <c r="AW272" s="153">
        <f t="shared" si="441"/>
        <v>0.49177153920619548</v>
      </c>
      <c r="AX272" s="153"/>
      <c r="BA272" s="147">
        <f t="shared" si="471"/>
        <v>5.8677073027355267</v>
      </c>
      <c r="BB272" s="147">
        <f t="shared" si="472"/>
        <v>5.2339861333333353</v>
      </c>
      <c r="BC272" s="5">
        <f t="shared" si="442"/>
        <v>0.1054257252547427</v>
      </c>
      <c r="BD272" s="147">
        <f t="shared" si="473"/>
        <v>0</v>
      </c>
      <c r="BQ272" s="463">
        <f t="shared" si="474"/>
        <v>2.1392000000000001E-2</v>
      </c>
      <c r="CG272" s="59">
        <f t="shared" si="475"/>
        <v>-50</v>
      </c>
      <c r="CH272">
        <f t="shared" si="476"/>
        <v>-50</v>
      </c>
    </row>
    <row r="273" spans="5:86" x14ac:dyDescent="0.25">
      <c r="E273" s="150">
        <v>57</v>
      </c>
      <c r="F273" s="191">
        <f t="shared" si="477"/>
        <v>5.6999999999999995E-2</v>
      </c>
      <c r="G273" s="191"/>
      <c r="H273" s="191">
        <f t="shared" si="443"/>
        <v>1.1399999999999999</v>
      </c>
      <c r="I273" s="472">
        <f t="shared" si="444"/>
        <v>21</v>
      </c>
      <c r="J273" s="386">
        <f t="shared" si="445"/>
        <v>20.32</v>
      </c>
      <c r="K273" s="386">
        <f t="shared" si="446"/>
        <v>41.32</v>
      </c>
      <c r="L273" s="386"/>
      <c r="M273" s="191">
        <f t="shared" si="447"/>
        <v>0.49177153920619554</v>
      </c>
      <c r="N273" s="152">
        <f t="shared" si="448"/>
        <v>3.5049491965150041</v>
      </c>
      <c r="O273" s="152">
        <f t="shared" si="478"/>
        <v>1.1399999999999999</v>
      </c>
      <c r="P273" s="191">
        <f t="shared" si="449"/>
        <v>0.17524745982575021</v>
      </c>
      <c r="Q273" s="191">
        <f t="shared" si="450"/>
        <v>20</v>
      </c>
      <c r="R273" s="191"/>
      <c r="S273" s="152">
        <f t="shared" si="451"/>
        <v>103.40689077778782</v>
      </c>
      <c r="T273" s="152">
        <f t="shared" si="452"/>
        <v>20</v>
      </c>
      <c r="U273" s="191">
        <f t="shared" si="453"/>
        <v>0.24530683664541927</v>
      </c>
      <c r="V273" s="191">
        <f t="shared" si="454"/>
        <v>1.7521916903244235</v>
      </c>
      <c r="W273" s="191">
        <f t="shared" si="455"/>
        <v>1.810828026417957</v>
      </c>
      <c r="X273" s="175">
        <f t="shared" si="456"/>
        <v>350</v>
      </c>
      <c r="Y273" s="386">
        <f t="shared" si="418"/>
        <v>280.6608100710389</v>
      </c>
      <c r="AA273" s="191">
        <f t="shared" si="457"/>
        <v>0.19670861568247827</v>
      </c>
      <c r="AB273" s="153">
        <f t="shared" si="458"/>
        <v>1.4520813165537272</v>
      </c>
      <c r="AC273" s="153">
        <f t="shared" si="459"/>
        <v>4.9986458486592979E-2</v>
      </c>
      <c r="AD273" s="153"/>
      <c r="AE273" s="153">
        <f t="shared" si="460"/>
        <v>1.1072834645669289</v>
      </c>
      <c r="AF273" s="317">
        <f t="shared" si="461"/>
        <v>686.36444444444442</v>
      </c>
      <c r="AG273" s="463">
        <f t="shared" si="462"/>
        <v>2.9066190944881887E-2</v>
      </c>
      <c r="AI273" s="153">
        <f t="shared" si="463"/>
        <v>0.2100557749061629</v>
      </c>
      <c r="AJ273" s="153">
        <f t="shared" si="464"/>
        <v>0.24530683664541927</v>
      </c>
      <c r="AK273" s="153">
        <f t="shared" si="465"/>
        <v>1.2635378910969461</v>
      </c>
      <c r="AM273" s="317">
        <f t="shared" si="466"/>
        <v>56.999999999999993</v>
      </c>
      <c r="AN273" s="147">
        <f t="shared" si="467"/>
        <v>280.6608100710389</v>
      </c>
      <c r="AP273">
        <f t="shared" si="468"/>
        <v>56.999999999999993</v>
      </c>
      <c r="AQ273">
        <f t="shared" si="469"/>
        <v>280.6608100710389</v>
      </c>
      <c r="AS273" s="5">
        <f t="shared" si="479"/>
        <v>3.5630197167423803</v>
      </c>
      <c r="AT273" s="5">
        <f t="shared" si="470"/>
        <v>1.7521916903244235</v>
      </c>
      <c r="AU273" s="5">
        <f t="shared" si="440"/>
        <v>1.8108280264179568</v>
      </c>
      <c r="AV273" s="5"/>
      <c r="AW273" s="153">
        <f t="shared" si="441"/>
        <v>0.4917715392061956</v>
      </c>
      <c r="AX273" s="153"/>
      <c r="BA273" s="147">
        <f t="shared" si="471"/>
        <v>5.8677073027355267</v>
      </c>
      <c r="BB273" s="147">
        <f t="shared" si="472"/>
        <v>5.4195296387755096</v>
      </c>
      <c r="BC273" s="5">
        <f t="shared" si="442"/>
        <v>0.10922454762521008</v>
      </c>
      <c r="BD273" s="147">
        <f t="shared" si="473"/>
        <v>0</v>
      </c>
      <c r="BQ273" s="463">
        <f t="shared" si="474"/>
        <v>2.1773999999999998E-2</v>
      </c>
      <c r="CG273" s="59">
        <f t="shared" si="475"/>
        <v>-50</v>
      </c>
      <c r="CH273">
        <f t="shared" si="476"/>
        <v>-50</v>
      </c>
    </row>
    <row r="274" spans="5:86" x14ac:dyDescent="0.25">
      <c r="E274" s="150">
        <v>58</v>
      </c>
      <c r="F274" s="191">
        <f t="shared" si="477"/>
        <v>5.7999999999999996E-2</v>
      </c>
      <c r="G274" s="191"/>
      <c r="H274" s="191">
        <f t="shared" si="443"/>
        <v>1.1599999999999999</v>
      </c>
      <c r="I274" s="472">
        <f t="shared" si="444"/>
        <v>21</v>
      </c>
      <c r="J274" s="386">
        <f t="shared" si="445"/>
        <v>20.32</v>
      </c>
      <c r="K274" s="386">
        <f t="shared" si="446"/>
        <v>41.32</v>
      </c>
      <c r="L274" s="386"/>
      <c r="M274" s="191">
        <f t="shared" si="447"/>
        <v>0.49177153920619554</v>
      </c>
      <c r="N274" s="152">
        <f t="shared" si="448"/>
        <v>3.5049491965150041</v>
      </c>
      <c r="O274" s="152">
        <f t="shared" si="478"/>
        <v>1.1599999999999999</v>
      </c>
      <c r="P274" s="191">
        <f t="shared" si="449"/>
        <v>0.17524745982575021</v>
      </c>
      <c r="Q274" s="191">
        <f t="shared" si="450"/>
        <v>20</v>
      </c>
      <c r="R274" s="191"/>
      <c r="S274" s="152">
        <f t="shared" si="451"/>
        <v>101.26442773347225</v>
      </c>
      <c r="T274" s="152">
        <f t="shared" si="452"/>
        <v>20</v>
      </c>
      <c r="U274" s="191">
        <f t="shared" si="453"/>
        <v>0.24961046535849682</v>
      </c>
      <c r="V274" s="191">
        <f t="shared" si="454"/>
        <v>1.7829318954178341</v>
      </c>
      <c r="W274" s="191">
        <f t="shared" si="455"/>
        <v>1.8425969391621317</v>
      </c>
      <c r="X274" s="175">
        <f t="shared" si="456"/>
        <v>350</v>
      </c>
      <c r="Y274" s="386">
        <f t="shared" si="418"/>
        <v>275.82183058705544</v>
      </c>
      <c r="AA274" s="191">
        <f t="shared" si="457"/>
        <v>0.19670861568247827</v>
      </c>
      <c r="AB274" s="153">
        <f t="shared" si="458"/>
        <v>1.4520813165537272</v>
      </c>
      <c r="AC274" s="153">
        <f t="shared" si="459"/>
        <v>4.9986458486592979E-2</v>
      </c>
      <c r="AD274" s="153"/>
      <c r="AE274" s="153">
        <f t="shared" si="460"/>
        <v>1.1072834645669289</v>
      </c>
      <c r="AF274" s="317">
        <f t="shared" si="461"/>
        <v>698.405925925926</v>
      </c>
      <c r="AG274" s="463">
        <f t="shared" si="462"/>
        <v>2.9066190944881887E-2</v>
      </c>
      <c r="AI274" s="153">
        <f t="shared" si="463"/>
        <v>0.21189035799092842</v>
      </c>
      <c r="AJ274" s="153">
        <f t="shared" si="464"/>
        <v>0.24961046535849682</v>
      </c>
      <c r="AK274" s="153">
        <f t="shared" si="465"/>
        <v>1.2664069769056645</v>
      </c>
      <c r="AM274" s="317">
        <f t="shared" si="466"/>
        <v>57.999999999999993</v>
      </c>
      <c r="AN274" s="147">
        <f t="shared" si="467"/>
        <v>275.82183058705544</v>
      </c>
      <c r="AP274">
        <f t="shared" si="468"/>
        <v>57.999999999999993</v>
      </c>
      <c r="AQ274">
        <f t="shared" si="469"/>
        <v>275.82183058705544</v>
      </c>
      <c r="AS274" s="5">
        <f t="shared" si="479"/>
        <v>3.6255288345799661</v>
      </c>
      <c r="AT274" s="5">
        <f t="shared" si="470"/>
        <v>1.7829318954178341</v>
      </c>
      <c r="AU274" s="5">
        <f t="shared" si="440"/>
        <v>1.842596939162132</v>
      </c>
      <c r="AV274" s="5"/>
      <c r="AW274" s="153">
        <f t="shared" si="441"/>
        <v>0.49177153920619554</v>
      </c>
      <c r="AX274" s="153"/>
      <c r="BA274" s="147">
        <f t="shared" si="471"/>
        <v>5.8677073027355267</v>
      </c>
      <c r="BB274" s="147">
        <f t="shared" si="472"/>
        <v>5.6083040027210886</v>
      </c>
      <c r="BC274" s="5">
        <f t="shared" si="442"/>
        <v>0.11309060578984512</v>
      </c>
      <c r="BD274" s="147">
        <f t="shared" si="473"/>
        <v>0</v>
      </c>
      <c r="BQ274" s="463">
        <f t="shared" si="474"/>
        <v>2.2155999999999999E-2</v>
      </c>
      <c r="CG274" s="59">
        <f t="shared" si="475"/>
        <v>-50</v>
      </c>
      <c r="CH274">
        <f t="shared" si="476"/>
        <v>-50</v>
      </c>
    </row>
    <row r="275" spans="5:86" x14ac:dyDescent="0.25">
      <c r="E275" s="150">
        <v>59</v>
      </c>
      <c r="F275" s="191">
        <f t="shared" si="477"/>
        <v>5.8999999999999997E-2</v>
      </c>
      <c r="G275" s="191"/>
      <c r="H275" s="191">
        <f t="shared" si="443"/>
        <v>1.18</v>
      </c>
      <c r="I275" s="472">
        <f t="shared" si="444"/>
        <v>21</v>
      </c>
      <c r="J275" s="386">
        <f t="shared" si="445"/>
        <v>20.32</v>
      </c>
      <c r="K275" s="386">
        <f t="shared" si="446"/>
        <v>41.32</v>
      </c>
      <c r="L275" s="386"/>
      <c r="M275" s="191">
        <f t="shared" si="447"/>
        <v>0.49177153920619554</v>
      </c>
      <c r="N275" s="152">
        <f t="shared" si="448"/>
        <v>3.5049491965150041</v>
      </c>
      <c r="O275" s="152">
        <f t="shared" si="478"/>
        <v>1.18</v>
      </c>
      <c r="P275" s="191">
        <f t="shared" si="449"/>
        <v>0.17524745982575021</v>
      </c>
      <c r="Q275" s="191">
        <f t="shared" si="450"/>
        <v>20</v>
      </c>
      <c r="R275" s="191"/>
      <c r="S275" s="152">
        <f t="shared" si="451"/>
        <v>99.194646392430613</v>
      </c>
      <c r="T275" s="152">
        <f t="shared" si="452"/>
        <v>20</v>
      </c>
      <c r="U275" s="191">
        <f t="shared" si="453"/>
        <v>0.25391409407157434</v>
      </c>
      <c r="V275" s="191">
        <f t="shared" si="454"/>
        <v>1.8136721005112453</v>
      </c>
      <c r="W275" s="191">
        <f t="shared" si="455"/>
        <v>1.8743658519063064</v>
      </c>
      <c r="X275" s="175">
        <f t="shared" si="456"/>
        <v>350</v>
      </c>
      <c r="Y275" s="386">
        <f t="shared" si="418"/>
        <v>271.14688430591895</v>
      </c>
      <c r="AA275" s="191">
        <f t="shared" si="457"/>
        <v>0.19670861568247827</v>
      </c>
      <c r="AB275" s="153">
        <f t="shared" si="458"/>
        <v>1.4520813165537272</v>
      </c>
      <c r="AC275" s="153">
        <f t="shared" si="459"/>
        <v>4.9986458486592979E-2</v>
      </c>
      <c r="AD275" s="153"/>
      <c r="AE275" s="153">
        <f t="shared" si="460"/>
        <v>1.1072834645669289</v>
      </c>
      <c r="AF275" s="317">
        <f t="shared" si="461"/>
        <v>710.44740740740747</v>
      </c>
      <c r="AG275" s="463">
        <f t="shared" si="462"/>
        <v>2.9066190944881887E-2</v>
      </c>
      <c r="AI275" s="153">
        <f t="shared" si="463"/>
        <v>0.2137091927073308</v>
      </c>
      <c r="AJ275" s="153">
        <f t="shared" si="464"/>
        <v>0.25391409407157434</v>
      </c>
      <c r="AK275" s="153">
        <f t="shared" si="465"/>
        <v>1.2692760627143829</v>
      </c>
      <c r="AM275" s="317">
        <f t="shared" si="466"/>
        <v>59</v>
      </c>
      <c r="AN275" s="147">
        <f t="shared" si="467"/>
        <v>271.14688430591895</v>
      </c>
      <c r="AP275">
        <f t="shared" si="468"/>
        <v>59</v>
      </c>
      <c r="AQ275">
        <f t="shared" si="469"/>
        <v>271.14688430591895</v>
      </c>
      <c r="AS275" s="5">
        <f t="shared" si="479"/>
        <v>3.6880379524175515</v>
      </c>
      <c r="AT275" s="5">
        <f t="shared" si="470"/>
        <v>1.8136721005112453</v>
      </c>
      <c r="AU275" s="5">
        <f t="shared" si="440"/>
        <v>1.8743658519063062</v>
      </c>
      <c r="AV275" s="5"/>
      <c r="AW275" s="153">
        <f t="shared" si="441"/>
        <v>0.4917715392061956</v>
      </c>
      <c r="AX275" s="153"/>
      <c r="BA275" s="147">
        <f t="shared" si="471"/>
        <v>5.8677073027355267</v>
      </c>
      <c r="BB275" s="147">
        <f t="shared" si="472"/>
        <v>5.8003092251700679</v>
      </c>
      <c r="BC275" s="5">
        <f t="shared" si="442"/>
        <v>0.11702389974864769</v>
      </c>
      <c r="BD275" s="147">
        <f t="shared" si="473"/>
        <v>0</v>
      </c>
      <c r="BQ275" s="463">
        <f t="shared" si="474"/>
        <v>2.2537999999999999E-2</v>
      </c>
      <c r="CG275" s="59">
        <f t="shared" si="475"/>
        <v>-50</v>
      </c>
      <c r="CH275">
        <f t="shared" si="476"/>
        <v>-50</v>
      </c>
    </row>
    <row r="276" spans="5:86" x14ac:dyDescent="0.25">
      <c r="E276" s="150">
        <v>60</v>
      </c>
      <c r="F276" s="191">
        <f t="shared" si="477"/>
        <v>0.06</v>
      </c>
      <c r="G276" s="191"/>
      <c r="H276" s="191">
        <f t="shared" si="443"/>
        <v>1.2</v>
      </c>
      <c r="I276" s="472">
        <f t="shared" si="444"/>
        <v>21</v>
      </c>
      <c r="J276" s="386">
        <f t="shared" si="445"/>
        <v>20.32</v>
      </c>
      <c r="K276" s="386">
        <f t="shared" si="446"/>
        <v>41.32</v>
      </c>
      <c r="L276" s="386"/>
      <c r="M276" s="191">
        <f t="shared" si="447"/>
        <v>0.49177153920619554</v>
      </c>
      <c r="N276" s="152">
        <f t="shared" si="448"/>
        <v>3.5049491965150041</v>
      </c>
      <c r="O276" s="152">
        <f t="shared" si="478"/>
        <v>1.2</v>
      </c>
      <c r="P276" s="191">
        <f t="shared" si="449"/>
        <v>0.17524745982575021</v>
      </c>
      <c r="Q276" s="191">
        <f t="shared" si="450"/>
        <v>20</v>
      </c>
      <c r="R276" s="191"/>
      <c r="S276" s="152">
        <f t="shared" si="451"/>
        <v>97.19391324300824</v>
      </c>
      <c r="T276" s="152">
        <f t="shared" si="452"/>
        <v>20</v>
      </c>
      <c r="U276" s="191">
        <f t="shared" si="453"/>
        <v>0.25821772278465188</v>
      </c>
      <c r="V276" s="191">
        <f t="shared" si="454"/>
        <v>1.8444123056046562</v>
      </c>
      <c r="W276" s="191">
        <f t="shared" si="455"/>
        <v>1.9061347646504812</v>
      </c>
      <c r="X276" s="175">
        <f t="shared" si="456"/>
        <v>350</v>
      </c>
      <c r="Y276" s="386">
        <f t="shared" ref="Y276:Y316" si="480">MIN(1/(V276+W276)*1000, 350)</f>
        <v>266.62776956748695</v>
      </c>
      <c r="AA276" s="191">
        <f t="shared" si="457"/>
        <v>0.19670861568247827</v>
      </c>
      <c r="AB276" s="153">
        <f t="shared" si="458"/>
        <v>1.4520813165537272</v>
      </c>
      <c r="AC276" s="153">
        <f t="shared" si="459"/>
        <v>4.9986458486592979E-2</v>
      </c>
      <c r="AD276" s="153"/>
      <c r="AE276" s="153">
        <f t="shared" si="460"/>
        <v>1.1072834645669289</v>
      </c>
      <c r="AF276" s="317">
        <f t="shared" si="461"/>
        <v>722.48888888888882</v>
      </c>
      <c r="AG276" s="463">
        <f t="shared" si="462"/>
        <v>2.9066190944881887E-2</v>
      </c>
      <c r="AI276" s="153">
        <f t="shared" si="463"/>
        <v>0.21551267778419508</v>
      </c>
      <c r="AJ276" s="153">
        <f t="shared" si="464"/>
        <v>0.25821772278465188</v>
      </c>
      <c r="AK276" s="153">
        <f t="shared" si="465"/>
        <v>1.2721451485231012</v>
      </c>
      <c r="AM276" s="317">
        <f t="shared" si="466"/>
        <v>60</v>
      </c>
      <c r="AN276" s="147">
        <f t="shared" si="467"/>
        <v>266.62776956748695</v>
      </c>
      <c r="AP276">
        <f t="shared" si="468"/>
        <v>60</v>
      </c>
      <c r="AQ276">
        <f t="shared" si="469"/>
        <v>266.62776956748695</v>
      </c>
      <c r="AS276" s="5">
        <f t="shared" si="479"/>
        <v>3.7505470702551373</v>
      </c>
      <c r="AT276" s="5">
        <f t="shared" si="470"/>
        <v>1.8444123056046562</v>
      </c>
      <c r="AU276" s="5">
        <f t="shared" si="440"/>
        <v>1.9061347646504812</v>
      </c>
      <c r="AV276" s="5"/>
      <c r="AW276" s="153">
        <f t="shared" si="441"/>
        <v>0.49177153920619554</v>
      </c>
      <c r="AX276" s="153"/>
      <c r="BA276" s="147">
        <f t="shared" si="471"/>
        <v>5.8677073027355267</v>
      </c>
      <c r="BB276" s="147">
        <f t="shared" si="472"/>
        <v>5.9955453061224473</v>
      </c>
      <c r="BC276" s="5">
        <f t="shared" si="442"/>
        <v>0.12102442950161785</v>
      </c>
      <c r="BD276" s="147">
        <f t="shared" si="473"/>
        <v>0</v>
      </c>
      <c r="BQ276" s="463">
        <f t="shared" si="474"/>
        <v>2.2919999999999999E-2</v>
      </c>
      <c r="CG276" s="59">
        <f t="shared" si="475"/>
        <v>-50</v>
      </c>
      <c r="CH276">
        <f t="shared" si="476"/>
        <v>-50</v>
      </c>
    </row>
    <row r="277" spans="5:86" x14ac:dyDescent="0.25">
      <c r="E277" s="150">
        <v>61</v>
      </c>
      <c r="F277" s="191">
        <f t="shared" si="477"/>
        <v>6.0999999999999999E-2</v>
      </c>
      <c r="G277" s="191"/>
      <c r="H277" s="191">
        <f t="shared" si="443"/>
        <v>1.22</v>
      </c>
      <c r="I277" s="472">
        <f t="shared" si="444"/>
        <v>21</v>
      </c>
      <c r="J277" s="386">
        <f t="shared" si="445"/>
        <v>20.32</v>
      </c>
      <c r="K277" s="386">
        <f t="shared" si="446"/>
        <v>41.32</v>
      </c>
      <c r="L277" s="386"/>
      <c r="M277" s="191">
        <f t="shared" si="447"/>
        <v>0.49177153920619554</v>
      </c>
      <c r="N277" s="152">
        <f t="shared" si="448"/>
        <v>3.5049491965150041</v>
      </c>
      <c r="O277" s="152">
        <f t="shared" si="478"/>
        <v>1.22</v>
      </c>
      <c r="P277" s="191">
        <f t="shared" si="449"/>
        <v>0.17524745982575021</v>
      </c>
      <c r="Q277" s="191">
        <f t="shared" si="450"/>
        <v>20</v>
      </c>
      <c r="R277" s="191"/>
      <c r="S277" s="152">
        <f t="shared" si="451"/>
        <v>95.258833044305518</v>
      </c>
      <c r="T277" s="152">
        <f t="shared" si="452"/>
        <v>20</v>
      </c>
      <c r="U277" s="191">
        <f t="shared" si="453"/>
        <v>0.26252135149772943</v>
      </c>
      <c r="V277" s="191">
        <f t="shared" si="454"/>
        <v>1.8751525106980671</v>
      </c>
      <c r="W277" s="191">
        <f t="shared" si="455"/>
        <v>1.9379036773946556</v>
      </c>
      <c r="X277" s="175">
        <f t="shared" si="456"/>
        <v>350</v>
      </c>
      <c r="Y277" s="386">
        <f t="shared" si="480"/>
        <v>262.25682252539701</v>
      </c>
      <c r="AA277" s="191">
        <f t="shared" si="457"/>
        <v>0.19670861568247827</v>
      </c>
      <c r="AB277" s="153">
        <f t="shared" si="458"/>
        <v>1.4520813165537272</v>
      </c>
      <c r="AC277" s="153">
        <f t="shared" si="459"/>
        <v>4.9986458486592979E-2</v>
      </c>
      <c r="AD277" s="153"/>
      <c r="AE277" s="153">
        <f t="shared" si="460"/>
        <v>1.1072834645669289</v>
      </c>
      <c r="AF277" s="317">
        <f t="shared" si="461"/>
        <v>734.53037037037041</v>
      </c>
      <c r="AG277" s="463">
        <f t="shared" si="462"/>
        <v>2.9066190944881887E-2</v>
      </c>
      <c r="AI277" s="153">
        <f t="shared" si="463"/>
        <v>0.21730119540354473</v>
      </c>
      <c r="AJ277" s="153">
        <f t="shared" si="464"/>
        <v>0.26252135149772943</v>
      </c>
      <c r="AK277" s="153">
        <f t="shared" si="465"/>
        <v>1.2750142343318196</v>
      </c>
      <c r="AM277" s="317">
        <f t="shared" si="466"/>
        <v>61</v>
      </c>
      <c r="AN277" s="147">
        <f t="shared" si="467"/>
        <v>262.25682252539701</v>
      </c>
      <c r="AP277">
        <f t="shared" si="468"/>
        <v>61</v>
      </c>
      <c r="AQ277">
        <f t="shared" si="469"/>
        <v>262.25682252539701</v>
      </c>
      <c r="AS277" s="5">
        <f t="shared" si="479"/>
        <v>3.8130561880927223</v>
      </c>
      <c r="AT277" s="5">
        <f t="shared" si="470"/>
        <v>1.8751525106980671</v>
      </c>
      <c r="AU277" s="5">
        <f t="shared" si="440"/>
        <v>1.9379036773946552</v>
      </c>
      <c r="AV277" s="5"/>
      <c r="AW277" s="153">
        <f t="shared" si="441"/>
        <v>0.49177153920619565</v>
      </c>
      <c r="AX277" s="153"/>
      <c r="BA277" s="147">
        <f t="shared" si="471"/>
        <v>5.8677073027355267</v>
      </c>
      <c r="BB277" s="147">
        <f t="shared" si="472"/>
        <v>6.1940122455782305</v>
      </c>
      <c r="BC277" s="5">
        <f t="shared" si="442"/>
        <v>0.12509219504875549</v>
      </c>
      <c r="BD277" s="147">
        <f t="shared" si="473"/>
        <v>0</v>
      </c>
      <c r="BQ277" s="463">
        <f t="shared" si="474"/>
        <v>2.3302E-2</v>
      </c>
      <c r="CG277" s="59">
        <f t="shared" si="475"/>
        <v>-50</v>
      </c>
      <c r="CH277">
        <f t="shared" si="476"/>
        <v>-50</v>
      </c>
    </row>
    <row r="278" spans="5:86" x14ac:dyDescent="0.25">
      <c r="E278" s="150">
        <v>62</v>
      </c>
      <c r="F278" s="191">
        <f t="shared" si="477"/>
        <v>6.2E-2</v>
      </c>
      <c r="G278" s="191"/>
      <c r="H278" s="191">
        <f t="shared" si="443"/>
        <v>1.24</v>
      </c>
      <c r="I278" s="472">
        <f t="shared" si="444"/>
        <v>21</v>
      </c>
      <c r="J278" s="386">
        <f t="shared" si="445"/>
        <v>20.32</v>
      </c>
      <c r="K278" s="386">
        <f t="shared" si="446"/>
        <v>41.32</v>
      </c>
      <c r="L278" s="386"/>
      <c r="M278" s="191">
        <f t="shared" si="447"/>
        <v>0.49177153920619554</v>
      </c>
      <c r="N278" s="152">
        <f t="shared" si="448"/>
        <v>3.5049491965150041</v>
      </c>
      <c r="O278" s="152">
        <f t="shared" si="478"/>
        <v>1.24</v>
      </c>
      <c r="P278" s="191">
        <f t="shared" si="449"/>
        <v>0.17524745982575021</v>
      </c>
      <c r="Q278" s="191">
        <f t="shared" si="450"/>
        <v>20</v>
      </c>
      <c r="R278" s="191"/>
      <c r="S278" s="152">
        <f t="shared" si="451"/>
        <v>93.38622961092031</v>
      </c>
      <c r="T278" s="152">
        <f t="shared" si="452"/>
        <v>20</v>
      </c>
      <c r="U278" s="191">
        <f t="shared" si="453"/>
        <v>0.26682498021080697</v>
      </c>
      <c r="V278" s="191">
        <f t="shared" si="454"/>
        <v>1.9058927157914785</v>
      </c>
      <c r="W278" s="191">
        <f t="shared" si="455"/>
        <v>1.9696725901388306</v>
      </c>
      <c r="X278" s="175">
        <f t="shared" si="456"/>
        <v>350</v>
      </c>
      <c r="Y278" s="386">
        <f t="shared" si="480"/>
        <v>258.02687377498734</v>
      </c>
      <c r="AA278" s="191">
        <f t="shared" si="457"/>
        <v>0.19670861568247827</v>
      </c>
      <c r="AB278" s="153">
        <f t="shared" si="458"/>
        <v>1.4520813165537272</v>
      </c>
      <c r="AC278" s="153">
        <f t="shared" si="459"/>
        <v>4.9986458486592979E-2</v>
      </c>
      <c r="AD278" s="153"/>
      <c r="AE278" s="153">
        <f t="shared" si="460"/>
        <v>1.1072834645669289</v>
      </c>
      <c r="AF278" s="317">
        <f t="shared" si="461"/>
        <v>746.57185185185187</v>
      </c>
      <c r="AG278" s="463">
        <f t="shared" si="462"/>
        <v>2.9066190944881887E-2</v>
      </c>
      <c r="AI278" s="153">
        <f t="shared" si="463"/>
        <v>0.21907511214627909</v>
      </c>
      <c r="AJ278" s="153">
        <f t="shared" si="464"/>
        <v>0.26682498021080697</v>
      </c>
      <c r="AK278" s="153">
        <f t="shared" si="465"/>
        <v>1.277883320140538</v>
      </c>
      <c r="AM278" s="317">
        <f t="shared" si="466"/>
        <v>62</v>
      </c>
      <c r="AN278" s="147">
        <f t="shared" si="467"/>
        <v>258.02687377498734</v>
      </c>
      <c r="AP278">
        <f t="shared" si="468"/>
        <v>62</v>
      </c>
      <c r="AQ278">
        <f t="shared" si="469"/>
        <v>258.02687377498734</v>
      </c>
      <c r="AS278" s="5">
        <f t="shared" si="479"/>
        <v>3.875565305930309</v>
      </c>
      <c r="AT278" s="5">
        <f t="shared" si="470"/>
        <v>1.9058927157914785</v>
      </c>
      <c r="AU278" s="5">
        <f t="shared" si="440"/>
        <v>1.9696725901388306</v>
      </c>
      <c r="AV278" s="5"/>
      <c r="AW278" s="153">
        <f t="shared" si="441"/>
        <v>0.4917715392061956</v>
      </c>
      <c r="AX278" s="153"/>
      <c r="BA278" s="147">
        <f t="shared" si="471"/>
        <v>5.8677073027355267</v>
      </c>
      <c r="BB278" s="147">
        <f t="shared" si="472"/>
        <v>6.3957100435374139</v>
      </c>
      <c r="BC278" s="5">
        <f t="shared" si="442"/>
        <v>0.12922719639006083</v>
      </c>
      <c r="BD278" s="147">
        <f t="shared" si="473"/>
        <v>0</v>
      </c>
      <c r="BQ278" s="463">
        <f t="shared" si="474"/>
        <v>2.3684E-2</v>
      </c>
      <c r="CG278" s="59">
        <f t="shared" si="475"/>
        <v>-50</v>
      </c>
      <c r="CH278">
        <f t="shared" si="476"/>
        <v>-50</v>
      </c>
    </row>
    <row r="279" spans="5:86" x14ac:dyDescent="0.25">
      <c r="E279" s="150">
        <v>63</v>
      </c>
      <c r="F279" s="191">
        <f t="shared" si="477"/>
        <v>6.3E-2</v>
      </c>
      <c r="G279" s="191"/>
      <c r="H279" s="191">
        <f t="shared" si="443"/>
        <v>1.26</v>
      </c>
      <c r="I279" s="472">
        <f t="shared" si="444"/>
        <v>21</v>
      </c>
      <c r="J279" s="386">
        <f t="shared" si="445"/>
        <v>20.32</v>
      </c>
      <c r="K279" s="386">
        <f t="shared" si="446"/>
        <v>41.32</v>
      </c>
      <c r="L279" s="386"/>
      <c r="M279" s="191">
        <f t="shared" si="447"/>
        <v>0.49177153920619554</v>
      </c>
      <c r="N279" s="152">
        <f t="shared" si="448"/>
        <v>3.5049491965150041</v>
      </c>
      <c r="O279" s="152">
        <f t="shared" si="478"/>
        <v>1.26</v>
      </c>
      <c r="P279" s="191">
        <f t="shared" si="449"/>
        <v>0.17524745982575021</v>
      </c>
      <c r="Q279" s="191">
        <f t="shared" si="450"/>
        <v>20</v>
      </c>
      <c r="R279" s="191"/>
      <c r="S279" s="152">
        <f t="shared" si="451"/>
        <v>91.573128427717918</v>
      </c>
      <c r="T279" s="152">
        <f t="shared" si="452"/>
        <v>20</v>
      </c>
      <c r="U279" s="191">
        <f t="shared" si="453"/>
        <v>0.27112860892388452</v>
      </c>
      <c r="V279" s="191">
        <f t="shared" si="454"/>
        <v>1.9366329208848891</v>
      </c>
      <c r="W279" s="191">
        <f t="shared" si="455"/>
        <v>2.0014415028830057</v>
      </c>
      <c r="X279" s="175">
        <f t="shared" si="456"/>
        <v>350</v>
      </c>
      <c r="Y279" s="386">
        <f t="shared" si="480"/>
        <v>253.93120911189226</v>
      </c>
      <c r="AA279" s="191">
        <f t="shared" si="457"/>
        <v>0.19670861568247827</v>
      </c>
      <c r="AB279" s="153">
        <f t="shared" si="458"/>
        <v>1.4520813165537272</v>
      </c>
      <c r="AC279" s="153">
        <f t="shared" si="459"/>
        <v>4.9986458486592979E-2</v>
      </c>
      <c r="AD279" s="153"/>
      <c r="AE279" s="153">
        <f t="shared" si="460"/>
        <v>1.1072834645669289</v>
      </c>
      <c r="AF279" s="317">
        <f t="shared" si="461"/>
        <v>758.61333333333334</v>
      </c>
      <c r="AG279" s="463">
        <f t="shared" si="462"/>
        <v>2.9066190944881887E-2</v>
      </c>
      <c r="AI279" s="153">
        <f t="shared" si="463"/>
        <v>0.22083477986947619</v>
      </c>
      <c r="AJ279" s="153">
        <f t="shared" si="464"/>
        <v>0.27112860892388452</v>
      </c>
      <c r="AK279" s="153">
        <f t="shared" si="465"/>
        <v>1.2807524059492563</v>
      </c>
      <c r="AM279" s="317">
        <f t="shared" si="466"/>
        <v>63</v>
      </c>
      <c r="AN279" s="147">
        <f t="shared" si="467"/>
        <v>253.93120911189226</v>
      </c>
      <c r="AP279">
        <f t="shared" si="468"/>
        <v>63</v>
      </c>
      <c r="AQ279">
        <f t="shared" si="469"/>
        <v>253.93120911189226</v>
      </c>
      <c r="AS279" s="5">
        <f t="shared" si="479"/>
        <v>3.9380744237678957</v>
      </c>
      <c r="AT279" s="5">
        <f t="shared" si="470"/>
        <v>1.9366329208848891</v>
      </c>
      <c r="AU279" s="5">
        <f t="shared" si="440"/>
        <v>2.0014415028830066</v>
      </c>
      <c r="AV279" s="5"/>
      <c r="AW279" s="153">
        <f t="shared" si="441"/>
        <v>0.49177153920619543</v>
      </c>
      <c r="AX279" s="153"/>
      <c r="BA279" s="147">
        <f t="shared" si="471"/>
        <v>5.8677073027355267</v>
      </c>
      <c r="BB279" s="147">
        <f t="shared" si="472"/>
        <v>6.6006386999999993</v>
      </c>
      <c r="BC279" s="5">
        <f t="shared" si="442"/>
        <v>0.13342943352553377</v>
      </c>
      <c r="BD279" s="147">
        <f t="shared" si="473"/>
        <v>0</v>
      </c>
      <c r="BQ279" s="463">
        <f t="shared" si="474"/>
        <v>2.4066000000000001E-2</v>
      </c>
      <c r="CG279" s="59">
        <f t="shared" si="475"/>
        <v>-50</v>
      </c>
      <c r="CH279">
        <f t="shared" si="476"/>
        <v>-50</v>
      </c>
    </row>
    <row r="280" spans="5:86" x14ac:dyDescent="0.25">
      <c r="E280" s="150">
        <v>64</v>
      </c>
      <c r="F280" s="191">
        <f t="shared" si="477"/>
        <v>6.4000000000000001E-2</v>
      </c>
      <c r="G280" s="191"/>
      <c r="H280" s="191">
        <f t="shared" ref="H280:H311" si="481">F280*Vout</f>
        <v>1.28</v>
      </c>
      <c r="I280" s="472">
        <f t="shared" ref="I280:I316" si="482">VIN_max</f>
        <v>21</v>
      </c>
      <c r="J280" s="386">
        <f t="shared" ref="J280:J316" si="483">(T280+Vfwd1)*Nps</f>
        <v>20.32</v>
      </c>
      <c r="K280" s="386">
        <f t="shared" ref="K280:K316" si="484">(Vout+Vfwd1)*Nps+I280</f>
        <v>41.32</v>
      </c>
      <c r="L280" s="386"/>
      <c r="M280" s="191">
        <f t="shared" ref="M280:M316" si="485">(Vout+Vfwd1)*Nps/((Vout+Vfwd1)*Nps+I280)</f>
        <v>0.49177153920619554</v>
      </c>
      <c r="N280" s="152">
        <f t="shared" ref="N280:N311" si="486">M280*I280*(Isw_max+VIN_max/Lmag*ILIM_delay)*0.5*Efficiency</f>
        <v>3.5049491965150041</v>
      </c>
      <c r="O280" s="152">
        <f t="shared" si="478"/>
        <v>1.28</v>
      </c>
      <c r="P280" s="191">
        <f t="shared" ref="P280:P311" si="487">N280/Vout</f>
        <v>0.17524745982575021</v>
      </c>
      <c r="Q280" s="191">
        <f t="shared" ref="Q280:Q316" si="488">MIN(Vout,N280/F280)</f>
        <v>20</v>
      </c>
      <c r="R280" s="191"/>
      <c r="S280" s="152">
        <f t="shared" ref="S280:S316" si="489">(SQRT(Isw_max^2*Nps^2*I280^2+4*Isw_max*F280/Efficiency*(Nps^2*Vfwd1*I280-Nps*I280^2)+4*(F280/Efficiency)^2*Nps^2*Vfwd1^2+8*(F280/Efficiency)^2*Nps*Vfwd1*I280+4*(F280/Efficiency)^2*I280^2)-2*F280/Efficiency*I280-2*F280/Efficiency*Nps*Vfwd1+Isw_max*Nps*I280)/(4*F280/Efficiency*Nps)</f>
        <v>89.816740894468396</v>
      </c>
      <c r="T280" s="152">
        <f t="shared" ref="T280:T311" si="490">MIN(Vout, S280)</f>
        <v>20</v>
      </c>
      <c r="U280" s="191">
        <f t="shared" ref="U280:U316" si="491">MIN(2*Vout*F280/(Efficiency*I280*M280), Isw_max)</f>
        <v>0.27543223763696201</v>
      </c>
      <c r="V280" s="191">
        <f t="shared" ref="V280:V311" si="492">L*U280/I280*1000000</f>
        <v>1.9673731259783001</v>
      </c>
      <c r="W280" s="191">
        <f t="shared" ref="W280:W316" si="493">L*U280/J280*1000000</f>
        <v>2.0332104156271797</v>
      </c>
      <c r="X280" s="175">
        <f t="shared" ref="X280:X316" si="494">IF(1/((350000*L)*(1/I280+1/J280))&gt;Isw_min, 350, 0.001/((Isw_min*L)*(1/I280+1/J280)))</f>
        <v>350</v>
      </c>
      <c r="Y280" s="386">
        <f t="shared" si="480"/>
        <v>249.96353396951903</v>
      </c>
      <c r="AA280" s="191">
        <f t="shared" ref="AA280:AA316" si="495">1/((X280*1000*L)*(1/I280+1/J280))</f>
        <v>0.19670861568247827</v>
      </c>
      <c r="AB280" s="153">
        <f t="shared" ref="AB280:AB311" si="496">L*AA280/J280*1000000</f>
        <v>1.4520813165537272</v>
      </c>
      <c r="AC280" s="153">
        <f t="shared" ref="AC280:AC311" si="497">0.5*AB280*AA280*Nps*X280/1000</f>
        <v>4.9986458486592979E-2</v>
      </c>
      <c r="AD280" s="153"/>
      <c r="AE280" s="153">
        <f t="shared" ref="AE280:AE316" si="498">L*Isw_min/J280*1000000</f>
        <v>1.1072834645669289</v>
      </c>
      <c r="AF280" s="317">
        <f t="shared" ref="AF280:AF311" si="499">MAX(12000,F280/(0.5*AE280/1000000*Isw_min*Nps))/1000</f>
        <v>770.65481481481481</v>
      </c>
      <c r="AG280" s="463">
        <f t="shared" ref="AG280:AG316" si="500">0.5*AE280/1000000*Isw_min*Nps*X280*1000</f>
        <v>2.9066190944881887E-2</v>
      </c>
      <c r="AI280" s="153">
        <f t="shared" ref="AI280:AI316" si="501">SQRT(F280/(0.5*L/J280*Fsw_DCM*Nps))</f>
        <v>0.22258053652126739</v>
      </c>
      <c r="AJ280" s="153">
        <f t="shared" ref="AJ280:AJ311" si="502">MAX(IF(F280&gt;AC280,U280,AI280),Isw_min)</f>
        <v>0.27543223763696201</v>
      </c>
      <c r="AK280" s="153">
        <f t="shared" ref="AK280:AK311" si="503">IF(F280&gt;AG280, (AJ280-Isw_min)/1.2*0.8+1.2, AF280*0.2/350+1)</f>
        <v>1.2836214917579747</v>
      </c>
      <c r="AM280" s="317">
        <f t="shared" ref="AM280:AM316" si="504">F280*1000</f>
        <v>64</v>
      </c>
      <c r="AN280" s="147">
        <f t="shared" ref="AN280:AN316" si="505">IF(F280&gt;AG280, Y280, AF280)</f>
        <v>249.96353396951903</v>
      </c>
      <c r="AP280">
        <f t="shared" ref="AP280:AP316" si="506">IF(H280&gt;N280, "",AM280)</f>
        <v>64</v>
      </c>
      <c r="AQ280">
        <f t="shared" ref="AQ280:AQ316" si="507">IF(H280&gt;N280, "",AN280)</f>
        <v>249.96353396951903</v>
      </c>
      <c r="AS280" s="5">
        <f t="shared" si="479"/>
        <v>4.0005835416054794</v>
      </c>
      <c r="AT280" s="5">
        <f t="shared" ref="AT280:AT316" si="508">L*AJ280/I280*1000000</f>
        <v>1.9673731259783001</v>
      </c>
      <c r="AU280" s="5">
        <f t="shared" si="440"/>
        <v>2.0332104156271793</v>
      </c>
      <c r="AV280" s="5"/>
      <c r="AW280" s="153">
        <f t="shared" si="441"/>
        <v>0.49177153920619565</v>
      </c>
      <c r="AX280" s="153"/>
      <c r="BA280" s="147">
        <f t="shared" ref="BA280:BA316" si="509">L*Isw_max^2/(2*Vout_ripple*Vout)*1000000000*((1+M280)/2)^2</f>
        <v>5.8677073027355267</v>
      </c>
      <c r="BB280" s="147">
        <f t="shared" ref="BB280:BB316" si="510">L*F280^2/(2*Cout*Vout*Nps^2)*1000000000*((1+M280)/(1-M280))^2+F280*RCoutEsr</f>
        <v>6.8087982149659849</v>
      </c>
      <c r="BC280" s="5">
        <f t="shared" si="442"/>
        <v>0.13769890645517405</v>
      </c>
      <c r="BD280" s="147">
        <f t="shared" ref="BD280:BD316" si="511">((CB280/I280/Efficiency)*AU280/Cin+(CB280/I280/Efficiency)*RCinEsr)*1000</f>
        <v>0</v>
      </c>
      <c r="BQ280" s="463">
        <f t="shared" ref="BQ280:BQ316" si="512">(Vfwd2*F280+BG280^2*Rdiode)*(1+Diode_TC/1000*(Ta-25))</f>
        <v>2.4448000000000001E-2</v>
      </c>
      <c r="CG280" s="59">
        <f t="shared" ref="CG280:CG316" si="513">IF(ABS(F280-Ioutmax_Vinmax)&lt;Iout/200, AN280, -50)</f>
        <v>-50</v>
      </c>
      <c r="CH280">
        <f t="shared" ref="CH280:CH316" si="514">IF(ABS(F280-Ioutmax_Vinmin)&lt;Iout/200, N280*CC280, -50)</f>
        <v>-50</v>
      </c>
    </row>
    <row r="281" spans="5:86" x14ac:dyDescent="0.25">
      <c r="E281" s="150">
        <v>65</v>
      </c>
      <c r="F281" s="191">
        <f t="shared" ref="F281:F312" si="515">IF(PLOT_TYPE=1, E281/100*Iout_max, min_I*EXP(N281*rr/100))</f>
        <v>6.5000000000000002E-2</v>
      </c>
      <c r="G281" s="191"/>
      <c r="H281" s="191">
        <f t="shared" si="481"/>
        <v>1.3</v>
      </c>
      <c r="I281" s="472">
        <f t="shared" si="482"/>
        <v>21</v>
      </c>
      <c r="J281" s="386">
        <f t="shared" si="483"/>
        <v>20.32</v>
      </c>
      <c r="K281" s="386">
        <f t="shared" si="484"/>
        <v>41.32</v>
      </c>
      <c r="L281" s="386"/>
      <c r="M281" s="191">
        <f t="shared" si="485"/>
        <v>0.49177153920619554</v>
      </c>
      <c r="N281" s="152">
        <f t="shared" si="486"/>
        <v>3.5049491965150041</v>
      </c>
      <c r="O281" s="152">
        <f t="shared" si="478"/>
        <v>1.3</v>
      </c>
      <c r="P281" s="191">
        <f t="shared" si="487"/>
        <v>0.17524745982575021</v>
      </c>
      <c r="Q281" s="191">
        <f t="shared" si="488"/>
        <v>20</v>
      </c>
      <c r="R281" s="191"/>
      <c r="S281" s="152">
        <f t="shared" si="489"/>
        <v>88.114450024827562</v>
      </c>
      <c r="T281" s="152">
        <f t="shared" si="490"/>
        <v>20</v>
      </c>
      <c r="U281" s="191">
        <f t="shared" si="491"/>
        <v>0.27973586635003955</v>
      </c>
      <c r="V281" s="191">
        <f t="shared" si="492"/>
        <v>1.9981133310717112</v>
      </c>
      <c r="W281" s="191">
        <f t="shared" si="493"/>
        <v>2.0649793283713551</v>
      </c>
      <c r="X281" s="175">
        <f t="shared" si="494"/>
        <v>350</v>
      </c>
      <c r="Y281" s="386">
        <f t="shared" si="480"/>
        <v>246.11794113921863</v>
      </c>
      <c r="AA281" s="191">
        <f t="shared" si="495"/>
        <v>0.19670861568247827</v>
      </c>
      <c r="AB281" s="153">
        <f t="shared" si="496"/>
        <v>1.4520813165537272</v>
      </c>
      <c r="AC281" s="153">
        <f t="shared" si="497"/>
        <v>4.9986458486592979E-2</v>
      </c>
      <c r="AD281" s="153"/>
      <c r="AE281" s="153">
        <f t="shared" si="498"/>
        <v>1.1072834645669289</v>
      </c>
      <c r="AF281" s="317">
        <f t="shared" si="499"/>
        <v>782.6962962962964</v>
      </c>
      <c r="AG281" s="463">
        <f t="shared" si="500"/>
        <v>2.9066190944881887E-2</v>
      </c>
      <c r="AI281" s="153">
        <f t="shared" si="501"/>
        <v>0.22431270689862953</v>
      </c>
      <c r="AJ281" s="153">
        <f t="shared" si="502"/>
        <v>0.27973586635003955</v>
      </c>
      <c r="AK281" s="153">
        <f t="shared" si="503"/>
        <v>1.286490577566693</v>
      </c>
      <c r="AM281" s="317">
        <f t="shared" si="504"/>
        <v>65</v>
      </c>
      <c r="AN281" s="147">
        <f t="shared" si="505"/>
        <v>246.11794113921863</v>
      </c>
      <c r="AP281">
        <f t="shared" si="506"/>
        <v>65</v>
      </c>
      <c r="AQ281">
        <f t="shared" si="507"/>
        <v>246.11794113921863</v>
      </c>
      <c r="AS281" s="5">
        <f t="shared" si="479"/>
        <v>4.0630926594430665</v>
      </c>
      <c r="AT281" s="5">
        <f t="shared" si="508"/>
        <v>1.9981133310717112</v>
      </c>
      <c r="AU281" s="5">
        <f t="shared" si="440"/>
        <v>2.0649793283713551</v>
      </c>
      <c r="AV281" s="5"/>
      <c r="AW281" s="153">
        <f t="shared" si="441"/>
        <v>0.49177153920619554</v>
      </c>
      <c r="AX281" s="153"/>
      <c r="BA281" s="147">
        <f t="shared" si="509"/>
        <v>5.8677073027355267</v>
      </c>
      <c r="BB281" s="147">
        <f t="shared" si="510"/>
        <v>7.0201885884353743</v>
      </c>
      <c r="BC281" s="5">
        <f t="shared" si="442"/>
        <v>0.14203561517898208</v>
      </c>
      <c r="BD281" s="147">
        <f t="shared" si="511"/>
        <v>0</v>
      </c>
      <c r="BQ281" s="463">
        <f t="shared" si="512"/>
        <v>2.4830000000000001E-2</v>
      </c>
      <c r="CG281" s="59">
        <f t="shared" si="513"/>
        <v>-50</v>
      </c>
      <c r="CH281">
        <f t="shared" si="514"/>
        <v>-50</v>
      </c>
    </row>
    <row r="282" spans="5:86" x14ac:dyDescent="0.25">
      <c r="E282" s="150">
        <v>66</v>
      </c>
      <c r="F282" s="191">
        <f t="shared" si="515"/>
        <v>6.6000000000000003E-2</v>
      </c>
      <c r="G282" s="191"/>
      <c r="H282" s="191">
        <f t="shared" si="481"/>
        <v>1.32</v>
      </c>
      <c r="I282" s="472">
        <f t="shared" si="482"/>
        <v>21</v>
      </c>
      <c r="J282" s="386">
        <f t="shared" si="483"/>
        <v>20.32</v>
      </c>
      <c r="K282" s="386">
        <f t="shared" si="484"/>
        <v>41.32</v>
      </c>
      <c r="L282" s="386"/>
      <c r="M282" s="191">
        <f t="shared" si="485"/>
        <v>0.49177153920619554</v>
      </c>
      <c r="N282" s="152">
        <f t="shared" si="486"/>
        <v>3.5049491965150041</v>
      </c>
      <c r="O282" s="152">
        <f t="shared" si="478"/>
        <v>1.32</v>
      </c>
      <c r="P282" s="191">
        <f t="shared" si="487"/>
        <v>0.17524745982575021</v>
      </c>
      <c r="Q282" s="191">
        <f t="shared" si="488"/>
        <v>20</v>
      </c>
      <c r="R282" s="191"/>
      <c r="S282" s="152">
        <f t="shared" si="489"/>
        <v>86.463797445413377</v>
      </c>
      <c r="T282" s="152">
        <f t="shared" si="490"/>
        <v>20</v>
      </c>
      <c r="U282" s="191">
        <f t="shared" si="491"/>
        <v>0.2840394950631171</v>
      </c>
      <c r="V282" s="191">
        <f t="shared" si="492"/>
        <v>2.0288535361651219</v>
      </c>
      <c r="W282" s="191">
        <f t="shared" si="493"/>
        <v>2.0967482411155296</v>
      </c>
      <c r="X282" s="175">
        <f t="shared" si="494"/>
        <v>350</v>
      </c>
      <c r="Y282" s="386">
        <f t="shared" si="480"/>
        <v>242.38888142498809</v>
      </c>
      <c r="AA282" s="191">
        <f t="shared" si="495"/>
        <v>0.19670861568247827</v>
      </c>
      <c r="AB282" s="153">
        <f t="shared" si="496"/>
        <v>1.4520813165537272</v>
      </c>
      <c r="AC282" s="153">
        <f t="shared" si="497"/>
        <v>4.9986458486592979E-2</v>
      </c>
      <c r="AD282" s="153"/>
      <c r="AE282" s="153">
        <f t="shared" si="498"/>
        <v>1.1072834645669289</v>
      </c>
      <c r="AF282" s="317">
        <f t="shared" si="499"/>
        <v>794.73777777777786</v>
      </c>
      <c r="AG282" s="463">
        <f t="shared" si="500"/>
        <v>2.9066190944881887E-2</v>
      </c>
      <c r="AI282" s="153">
        <f t="shared" si="501"/>
        <v>0.22603160335290667</v>
      </c>
      <c r="AJ282" s="153">
        <f t="shared" si="502"/>
        <v>0.2840394950631171</v>
      </c>
      <c r="AK282" s="153">
        <f t="shared" si="503"/>
        <v>1.2893596633754114</v>
      </c>
      <c r="AM282" s="317">
        <f t="shared" si="504"/>
        <v>66</v>
      </c>
      <c r="AN282" s="147">
        <f t="shared" si="505"/>
        <v>242.38888142498809</v>
      </c>
      <c r="AP282">
        <f t="shared" si="506"/>
        <v>66</v>
      </c>
      <c r="AQ282">
        <f t="shared" si="507"/>
        <v>242.38888142498809</v>
      </c>
      <c r="AS282" s="5">
        <f t="shared" si="479"/>
        <v>4.1256017772806519</v>
      </c>
      <c r="AT282" s="5">
        <f t="shared" si="508"/>
        <v>2.0288535361651219</v>
      </c>
      <c r="AU282" s="5">
        <f t="shared" si="440"/>
        <v>2.09674824111553</v>
      </c>
      <c r="AV282" s="5"/>
      <c r="AW282" s="153">
        <f t="shared" si="441"/>
        <v>0.49177153920619548</v>
      </c>
      <c r="AX282" s="153"/>
      <c r="BA282" s="147">
        <f t="shared" si="509"/>
        <v>5.8677073027355267</v>
      </c>
      <c r="BB282" s="147">
        <f t="shared" si="510"/>
        <v>7.2348098204081648</v>
      </c>
      <c r="BC282" s="5">
        <f t="shared" si="442"/>
        <v>0.14643955969695766</v>
      </c>
      <c r="BD282" s="147">
        <f t="shared" si="511"/>
        <v>0</v>
      </c>
      <c r="BQ282" s="463">
        <f t="shared" si="512"/>
        <v>2.5212000000000002E-2</v>
      </c>
      <c r="CG282" s="59">
        <f t="shared" si="513"/>
        <v>-50</v>
      </c>
      <c r="CH282">
        <f t="shared" si="514"/>
        <v>-50</v>
      </c>
    </row>
    <row r="283" spans="5:86" x14ac:dyDescent="0.25">
      <c r="E283" s="150">
        <v>67</v>
      </c>
      <c r="F283" s="191">
        <f t="shared" si="515"/>
        <v>6.7000000000000004E-2</v>
      </c>
      <c r="G283" s="191"/>
      <c r="H283" s="191">
        <f t="shared" si="481"/>
        <v>1.34</v>
      </c>
      <c r="I283" s="472">
        <f t="shared" si="482"/>
        <v>21</v>
      </c>
      <c r="J283" s="386">
        <f t="shared" si="483"/>
        <v>20.32</v>
      </c>
      <c r="K283" s="386">
        <f t="shared" si="484"/>
        <v>41.32</v>
      </c>
      <c r="L283" s="386"/>
      <c r="M283" s="191">
        <f t="shared" si="485"/>
        <v>0.49177153920619554</v>
      </c>
      <c r="N283" s="152">
        <f t="shared" si="486"/>
        <v>3.5049491965150041</v>
      </c>
      <c r="O283" s="152">
        <f t="shared" si="478"/>
        <v>1.34</v>
      </c>
      <c r="P283" s="191">
        <f t="shared" si="487"/>
        <v>0.17524745982575021</v>
      </c>
      <c r="Q283" s="191">
        <f t="shared" si="488"/>
        <v>20</v>
      </c>
      <c r="R283" s="191"/>
      <c r="S283" s="152">
        <f t="shared" si="489"/>
        <v>84.862471559146144</v>
      </c>
      <c r="T283" s="152">
        <f t="shared" si="490"/>
        <v>20</v>
      </c>
      <c r="U283" s="191">
        <f t="shared" si="491"/>
        <v>0.28834312377619464</v>
      </c>
      <c r="V283" s="191">
        <f t="shared" si="492"/>
        <v>2.0595937412585328</v>
      </c>
      <c r="W283" s="191">
        <f t="shared" si="493"/>
        <v>2.1285171538597041</v>
      </c>
      <c r="X283" s="175">
        <f t="shared" si="494"/>
        <v>350</v>
      </c>
      <c r="Y283" s="386">
        <f t="shared" si="480"/>
        <v>238.77113692610766</v>
      </c>
      <c r="AA283" s="191">
        <f t="shared" si="495"/>
        <v>0.19670861568247827</v>
      </c>
      <c r="AB283" s="153">
        <f t="shared" si="496"/>
        <v>1.4520813165537272</v>
      </c>
      <c r="AC283" s="153">
        <f t="shared" si="497"/>
        <v>4.9986458486592979E-2</v>
      </c>
      <c r="AD283" s="153"/>
      <c r="AE283" s="153">
        <f t="shared" si="498"/>
        <v>1.1072834645669289</v>
      </c>
      <c r="AF283" s="317">
        <f t="shared" si="499"/>
        <v>806.77925925925933</v>
      </c>
      <c r="AG283" s="463">
        <f t="shared" si="500"/>
        <v>2.9066190944881887E-2</v>
      </c>
      <c r="AI283" s="153">
        <f t="shared" si="501"/>
        <v>0.22773752644740164</v>
      </c>
      <c r="AJ283" s="153">
        <f t="shared" si="502"/>
        <v>0.28834312377619464</v>
      </c>
      <c r="AK283" s="153">
        <f t="shared" si="503"/>
        <v>1.2922287491841298</v>
      </c>
      <c r="AM283" s="317">
        <f t="shared" si="504"/>
        <v>67</v>
      </c>
      <c r="AN283" s="147">
        <f t="shared" si="505"/>
        <v>238.77113692610766</v>
      </c>
      <c r="AP283">
        <f t="shared" si="506"/>
        <v>67</v>
      </c>
      <c r="AQ283">
        <f t="shared" si="507"/>
        <v>238.77113692610766</v>
      </c>
      <c r="AS283" s="5">
        <f t="shared" si="479"/>
        <v>4.1881108951182373</v>
      </c>
      <c r="AT283" s="5">
        <f t="shared" si="508"/>
        <v>2.0595937412585328</v>
      </c>
      <c r="AU283" s="5">
        <f t="shared" si="440"/>
        <v>2.1285171538597045</v>
      </c>
      <c r="AV283" s="5"/>
      <c r="AW283" s="153">
        <f t="shared" si="441"/>
        <v>0.49177153920619548</v>
      </c>
      <c r="AX283" s="153"/>
      <c r="BA283" s="147">
        <f t="shared" si="509"/>
        <v>5.8677073027355267</v>
      </c>
      <c r="BB283" s="147">
        <f t="shared" si="510"/>
        <v>7.4526619108843546</v>
      </c>
      <c r="BC283" s="5">
        <f t="shared" si="442"/>
        <v>0.15091074000910076</v>
      </c>
      <c r="BD283" s="147">
        <f t="shared" si="511"/>
        <v>0</v>
      </c>
      <c r="BQ283" s="463">
        <f t="shared" si="512"/>
        <v>2.5594000000000002E-2</v>
      </c>
      <c r="CG283" s="59">
        <f t="shared" si="513"/>
        <v>-50</v>
      </c>
      <c r="CH283">
        <f t="shared" si="514"/>
        <v>-50</v>
      </c>
    </row>
    <row r="284" spans="5:86" x14ac:dyDescent="0.25">
      <c r="E284" s="150">
        <v>68</v>
      </c>
      <c r="F284" s="191">
        <f t="shared" si="515"/>
        <v>6.8000000000000005E-2</v>
      </c>
      <c r="G284" s="191"/>
      <c r="H284" s="191">
        <f t="shared" si="481"/>
        <v>1.36</v>
      </c>
      <c r="I284" s="472">
        <f t="shared" si="482"/>
        <v>21</v>
      </c>
      <c r="J284" s="386">
        <f t="shared" si="483"/>
        <v>20.32</v>
      </c>
      <c r="K284" s="386">
        <f t="shared" si="484"/>
        <v>41.32</v>
      </c>
      <c r="L284" s="386"/>
      <c r="M284" s="191">
        <f t="shared" si="485"/>
        <v>0.49177153920619554</v>
      </c>
      <c r="N284" s="152">
        <f t="shared" si="486"/>
        <v>3.5049491965150041</v>
      </c>
      <c r="O284" s="152">
        <f t="shared" si="478"/>
        <v>1.36</v>
      </c>
      <c r="P284" s="191">
        <f t="shared" si="487"/>
        <v>0.17524745982575021</v>
      </c>
      <c r="Q284" s="191">
        <f t="shared" si="488"/>
        <v>20</v>
      </c>
      <c r="R284" s="191"/>
      <c r="S284" s="152">
        <f t="shared" si="489"/>
        <v>83.308296753002864</v>
      </c>
      <c r="T284" s="152">
        <f t="shared" si="490"/>
        <v>20</v>
      </c>
      <c r="U284" s="191">
        <f t="shared" si="491"/>
        <v>0.29264675248927219</v>
      </c>
      <c r="V284" s="191">
        <f t="shared" si="492"/>
        <v>2.0903339463519441</v>
      </c>
      <c r="W284" s="191">
        <f t="shared" si="493"/>
        <v>2.1602860666038795</v>
      </c>
      <c r="X284" s="175">
        <f t="shared" si="494"/>
        <v>350</v>
      </c>
      <c r="Y284" s="386">
        <f t="shared" si="480"/>
        <v>235.25979667719429</v>
      </c>
      <c r="AA284" s="191">
        <f t="shared" si="495"/>
        <v>0.19670861568247827</v>
      </c>
      <c r="AB284" s="153">
        <f t="shared" si="496"/>
        <v>1.4520813165537272</v>
      </c>
      <c r="AC284" s="153">
        <f t="shared" si="497"/>
        <v>4.9986458486592979E-2</v>
      </c>
      <c r="AD284" s="153"/>
      <c r="AE284" s="153">
        <f t="shared" si="498"/>
        <v>1.1072834645669289</v>
      </c>
      <c r="AF284" s="317">
        <f t="shared" si="499"/>
        <v>818.82074074074092</v>
      </c>
      <c r="AG284" s="463">
        <f t="shared" si="500"/>
        <v>2.9066190944881887E-2</v>
      </c>
      <c r="AI284" s="153">
        <f t="shared" si="501"/>
        <v>0.22943076557095868</v>
      </c>
      <c r="AJ284" s="153">
        <f t="shared" si="502"/>
        <v>0.29264675248927219</v>
      </c>
      <c r="AK284" s="153">
        <f t="shared" si="503"/>
        <v>1.2950978349928481</v>
      </c>
      <c r="AM284" s="317">
        <f t="shared" si="504"/>
        <v>68</v>
      </c>
      <c r="AN284" s="147">
        <f t="shared" si="505"/>
        <v>235.25979667719429</v>
      </c>
      <c r="AP284">
        <f t="shared" si="506"/>
        <v>68</v>
      </c>
      <c r="AQ284">
        <f t="shared" si="507"/>
        <v>235.25979667719429</v>
      </c>
      <c r="AS284" s="5">
        <f t="shared" si="479"/>
        <v>4.2506200129558227</v>
      </c>
      <c r="AT284" s="5">
        <f t="shared" si="508"/>
        <v>2.0903339463519441</v>
      </c>
      <c r="AU284" s="5">
        <f t="shared" si="440"/>
        <v>2.1602860666038786</v>
      </c>
      <c r="AV284" s="5"/>
      <c r="AW284" s="153">
        <f t="shared" si="441"/>
        <v>0.49177153920619565</v>
      </c>
      <c r="AX284" s="153"/>
      <c r="BA284" s="147">
        <f t="shared" si="509"/>
        <v>5.8677073027355267</v>
      </c>
      <c r="BB284" s="147">
        <f t="shared" si="510"/>
        <v>7.6737448598639455</v>
      </c>
      <c r="BC284" s="5">
        <f t="shared" si="442"/>
        <v>0.15544915611541135</v>
      </c>
      <c r="BD284" s="147">
        <f t="shared" si="511"/>
        <v>0</v>
      </c>
      <c r="BQ284" s="463">
        <f t="shared" si="512"/>
        <v>2.5975999999999999E-2</v>
      </c>
      <c r="CG284" s="59">
        <f t="shared" si="513"/>
        <v>-50</v>
      </c>
      <c r="CH284">
        <f t="shared" si="514"/>
        <v>-50</v>
      </c>
    </row>
    <row r="285" spans="5:86" x14ac:dyDescent="0.25">
      <c r="E285" s="150">
        <v>69</v>
      </c>
      <c r="F285" s="191">
        <f t="shared" si="515"/>
        <v>6.8999999999999992E-2</v>
      </c>
      <c r="G285" s="191"/>
      <c r="H285" s="191">
        <f t="shared" si="481"/>
        <v>1.38</v>
      </c>
      <c r="I285" s="472">
        <f t="shared" si="482"/>
        <v>21</v>
      </c>
      <c r="J285" s="386">
        <f t="shared" si="483"/>
        <v>20.32</v>
      </c>
      <c r="K285" s="386">
        <f t="shared" si="484"/>
        <v>41.32</v>
      </c>
      <c r="L285" s="386"/>
      <c r="M285" s="191">
        <f t="shared" si="485"/>
        <v>0.49177153920619554</v>
      </c>
      <c r="N285" s="152">
        <f t="shared" si="486"/>
        <v>3.5049491965150041</v>
      </c>
      <c r="O285" s="152">
        <f t="shared" si="478"/>
        <v>1.38</v>
      </c>
      <c r="P285" s="191">
        <f t="shared" si="487"/>
        <v>0.17524745982575021</v>
      </c>
      <c r="Q285" s="191">
        <f t="shared" si="488"/>
        <v>20</v>
      </c>
      <c r="R285" s="191"/>
      <c r="S285" s="152">
        <f t="shared" si="489"/>
        <v>81.799223544229889</v>
      </c>
      <c r="T285" s="152">
        <f t="shared" si="490"/>
        <v>20</v>
      </c>
      <c r="U285" s="191">
        <f t="shared" si="491"/>
        <v>0.29695038120234968</v>
      </c>
      <c r="V285" s="191">
        <f t="shared" si="492"/>
        <v>2.1210741514453546</v>
      </c>
      <c r="W285" s="191">
        <f t="shared" si="493"/>
        <v>2.1920549793480535</v>
      </c>
      <c r="X285" s="175">
        <f t="shared" si="494"/>
        <v>350</v>
      </c>
      <c r="Y285" s="386">
        <f t="shared" si="480"/>
        <v>231.85023440651037</v>
      </c>
      <c r="AA285" s="191">
        <f t="shared" si="495"/>
        <v>0.19670861568247827</v>
      </c>
      <c r="AB285" s="153">
        <f t="shared" si="496"/>
        <v>1.4520813165537272</v>
      </c>
      <c r="AC285" s="153">
        <f t="shared" si="497"/>
        <v>4.9986458486592979E-2</v>
      </c>
      <c r="AD285" s="153"/>
      <c r="AE285" s="153">
        <f t="shared" si="498"/>
        <v>1.1072834645669289</v>
      </c>
      <c r="AF285" s="317">
        <f t="shared" si="499"/>
        <v>830.86222222222216</v>
      </c>
      <c r="AG285" s="463">
        <f t="shared" si="500"/>
        <v>2.9066190944881887E-2</v>
      </c>
      <c r="AI285" s="153">
        <f t="shared" si="501"/>
        <v>0.23111159951108345</v>
      </c>
      <c r="AJ285" s="153">
        <f t="shared" si="502"/>
        <v>0.29695038120234968</v>
      </c>
      <c r="AK285" s="153">
        <f t="shared" si="503"/>
        <v>1.2979669208015665</v>
      </c>
      <c r="AM285" s="317">
        <f t="shared" si="504"/>
        <v>68.999999999999986</v>
      </c>
      <c r="AN285" s="147">
        <f t="shared" si="505"/>
        <v>231.85023440651037</v>
      </c>
      <c r="AP285">
        <f t="shared" si="506"/>
        <v>68.999999999999986</v>
      </c>
      <c r="AQ285">
        <f t="shared" si="507"/>
        <v>231.85023440651037</v>
      </c>
      <c r="AS285" s="5">
        <f t="shared" si="479"/>
        <v>4.3131291307934081</v>
      </c>
      <c r="AT285" s="5">
        <f t="shared" si="508"/>
        <v>2.1210741514453546</v>
      </c>
      <c r="AU285" s="5">
        <f t="shared" si="440"/>
        <v>2.1920549793480535</v>
      </c>
      <c r="AV285" s="5"/>
      <c r="AW285" s="153">
        <f t="shared" si="441"/>
        <v>0.49177153920619554</v>
      </c>
      <c r="AX285" s="153"/>
      <c r="BA285" s="147">
        <f t="shared" si="509"/>
        <v>5.8677073027355267</v>
      </c>
      <c r="BB285" s="147">
        <f t="shared" si="510"/>
        <v>7.8980586673469357</v>
      </c>
      <c r="BC285" s="5">
        <f t="shared" si="442"/>
        <v>0.16005480801588959</v>
      </c>
      <c r="BD285" s="147">
        <f t="shared" si="511"/>
        <v>0</v>
      </c>
      <c r="BQ285" s="463">
        <f t="shared" si="512"/>
        <v>2.6357999999999999E-2</v>
      </c>
      <c r="CG285" s="59">
        <f t="shared" si="513"/>
        <v>-50</v>
      </c>
      <c r="CH285">
        <f t="shared" si="514"/>
        <v>-50</v>
      </c>
    </row>
    <row r="286" spans="5:86" x14ac:dyDescent="0.25">
      <c r="E286" s="150">
        <v>70</v>
      </c>
      <c r="F286" s="191">
        <f t="shared" si="515"/>
        <v>6.9999999999999993E-2</v>
      </c>
      <c r="G286" s="191"/>
      <c r="H286" s="191">
        <f t="shared" si="481"/>
        <v>1.4</v>
      </c>
      <c r="I286" s="472">
        <f t="shared" si="482"/>
        <v>21</v>
      </c>
      <c r="J286" s="386">
        <f t="shared" si="483"/>
        <v>20.32</v>
      </c>
      <c r="K286" s="386">
        <f t="shared" si="484"/>
        <v>41.32</v>
      </c>
      <c r="L286" s="386"/>
      <c r="M286" s="191">
        <f t="shared" si="485"/>
        <v>0.49177153920619554</v>
      </c>
      <c r="N286" s="152">
        <f t="shared" si="486"/>
        <v>3.5049491965150041</v>
      </c>
      <c r="O286" s="152">
        <f t="shared" si="478"/>
        <v>1.4</v>
      </c>
      <c r="P286" s="191">
        <f t="shared" si="487"/>
        <v>0.17524745982575021</v>
      </c>
      <c r="Q286" s="191">
        <f t="shared" si="488"/>
        <v>20</v>
      </c>
      <c r="R286" s="191"/>
      <c r="S286" s="152">
        <f t="shared" si="489"/>
        <v>80.333319571168701</v>
      </c>
      <c r="T286" s="152">
        <f t="shared" si="490"/>
        <v>20</v>
      </c>
      <c r="U286" s="191">
        <f t="shared" si="491"/>
        <v>0.30125400991542722</v>
      </c>
      <c r="V286" s="191">
        <f t="shared" si="492"/>
        <v>2.151814356538766</v>
      </c>
      <c r="W286" s="191">
        <f t="shared" si="493"/>
        <v>2.2238238920922284</v>
      </c>
      <c r="X286" s="175">
        <f t="shared" si="494"/>
        <v>350</v>
      </c>
      <c r="Y286" s="386">
        <f t="shared" si="480"/>
        <v>228.53808820070304</v>
      </c>
      <c r="AA286" s="191">
        <f t="shared" si="495"/>
        <v>0.19670861568247827</v>
      </c>
      <c r="AB286" s="153">
        <f t="shared" si="496"/>
        <v>1.4520813165537272</v>
      </c>
      <c r="AC286" s="153">
        <f t="shared" si="497"/>
        <v>4.9986458486592979E-2</v>
      </c>
      <c r="AD286" s="153"/>
      <c r="AE286" s="153">
        <f t="shared" si="498"/>
        <v>1.1072834645669289</v>
      </c>
      <c r="AF286" s="317">
        <f t="shared" si="499"/>
        <v>842.90370370370374</v>
      </c>
      <c r="AG286" s="463">
        <f t="shared" si="500"/>
        <v>2.9066190944881887E-2</v>
      </c>
      <c r="AI286" s="153">
        <f t="shared" si="501"/>
        <v>0.23278029698981542</v>
      </c>
      <c r="AJ286" s="153">
        <f t="shared" si="502"/>
        <v>0.30125400991542722</v>
      </c>
      <c r="AK286" s="153">
        <f t="shared" si="503"/>
        <v>1.3008360066102849</v>
      </c>
      <c r="AM286" s="317">
        <f t="shared" si="504"/>
        <v>69.999999999999986</v>
      </c>
      <c r="AN286" s="147">
        <f t="shared" si="505"/>
        <v>228.53808820070304</v>
      </c>
      <c r="AP286">
        <f t="shared" si="506"/>
        <v>69.999999999999986</v>
      </c>
      <c r="AQ286">
        <f t="shared" si="507"/>
        <v>228.53808820070304</v>
      </c>
      <c r="AS286" s="5">
        <f t="shared" si="479"/>
        <v>4.3756382486309944</v>
      </c>
      <c r="AT286" s="5">
        <f t="shared" si="508"/>
        <v>2.151814356538766</v>
      </c>
      <c r="AU286" s="5">
        <f t="shared" si="440"/>
        <v>2.2238238920922284</v>
      </c>
      <c r="AV286" s="5"/>
      <c r="AW286" s="153">
        <f t="shared" si="441"/>
        <v>0.49177153920619554</v>
      </c>
      <c r="AX286" s="153"/>
      <c r="BA286" s="147">
        <f t="shared" si="509"/>
        <v>5.8677073027355267</v>
      </c>
      <c r="BB286" s="147">
        <f t="shared" si="510"/>
        <v>8.1256033333333306</v>
      </c>
      <c r="BC286" s="5">
        <f t="shared" si="442"/>
        <v>0.16472769571053542</v>
      </c>
      <c r="BD286" s="147">
        <f t="shared" si="511"/>
        <v>0</v>
      </c>
      <c r="BQ286" s="463">
        <f t="shared" si="512"/>
        <v>2.6739999999999996E-2</v>
      </c>
      <c r="CG286" s="59">
        <f t="shared" si="513"/>
        <v>-50</v>
      </c>
      <c r="CH286">
        <f t="shared" si="514"/>
        <v>-50</v>
      </c>
    </row>
    <row r="287" spans="5:86" x14ac:dyDescent="0.25">
      <c r="E287" s="150">
        <v>71</v>
      </c>
      <c r="F287" s="191">
        <f t="shared" si="515"/>
        <v>7.0999999999999994E-2</v>
      </c>
      <c r="G287" s="191"/>
      <c r="H287" s="191">
        <f t="shared" si="481"/>
        <v>1.42</v>
      </c>
      <c r="I287" s="472">
        <f t="shared" si="482"/>
        <v>21</v>
      </c>
      <c r="J287" s="386">
        <f t="shared" si="483"/>
        <v>20.32</v>
      </c>
      <c r="K287" s="386">
        <f t="shared" si="484"/>
        <v>41.32</v>
      </c>
      <c r="L287" s="386"/>
      <c r="M287" s="191">
        <f t="shared" si="485"/>
        <v>0.49177153920619554</v>
      </c>
      <c r="N287" s="152">
        <f t="shared" si="486"/>
        <v>3.5049491965150041</v>
      </c>
      <c r="O287" s="152">
        <f t="shared" si="478"/>
        <v>1.42</v>
      </c>
      <c r="P287" s="191">
        <f t="shared" si="487"/>
        <v>0.17524745982575021</v>
      </c>
      <c r="Q287" s="191">
        <f t="shared" si="488"/>
        <v>20</v>
      </c>
      <c r="R287" s="191"/>
      <c r="S287" s="152">
        <f t="shared" si="489"/>
        <v>78.908761345422704</v>
      </c>
      <c r="T287" s="152">
        <f t="shared" si="490"/>
        <v>20</v>
      </c>
      <c r="U287" s="191">
        <f t="shared" si="491"/>
        <v>0.30555763862850471</v>
      </c>
      <c r="V287" s="191">
        <f t="shared" si="492"/>
        <v>2.182554561632176</v>
      </c>
      <c r="W287" s="191">
        <f t="shared" si="493"/>
        <v>2.2555928048364025</v>
      </c>
      <c r="X287" s="175">
        <f t="shared" si="494"/>
        <v>350</v>
      </c>
      <c r="Y287" s="386">
        <f t="shared" si="480"/>
        <v>225.31924188801713</v>
      </c>
      <c r="AA287" s="191">
        <f t="shared" si="495"/>
        <v>0.19670861568247827</v>
      </c>
      <c r="AB287" s="153">
        <f t="shared" si="496"/>
        <v>1.4520813165537272</v>
      </c>
      <c r="AC287" s="153">
        <f t="shared" si="497"/>
        <v>4.9986458486592979E-2</v>
      </c>
      <c r="AD287" s="153"/>
      <c r="AE287" s="153">
        <f t="shared" si="498"/>
        <v>1.1072834645669289</v>
      </c>
      <c r="AF287" s="317">
        <f t="shared" si="499"/>
        <v>854.94518518518521</v>
      </c>
      <c r="AG287" s="463">
        <f t="shared" si="500"/>
        <v>2.9066190944881887E-2</v>
      </c>
      <c r="AI287" s="153">
        <f t="shared" si="501"/>
        <v>0.23443711716526866</v>
      </c>
      <c r="AJ287" s="153">
        <f t="shared" si="502"/>
        <v>0.30555763862850471</v>
      </c>
      <c r="AK287" s="153">
        <f t="shared" si="503"/>
        <v>1.303705092419003</v>
      </c>
      <c r="AM287" s="317">
        <f t="shared" si="504"/>
        <v>71</v>
      </c>
      <c r="AN287" s="147">
        <f t="shared" si="505"/>
        <v>225.31924188801713</v>
      </c>
      <c r="AP287">
        <f t="shared" si="506"/>
        <v>71</v>
      </c>
      <c r="AQ287">
        <f t="shared" si="507"/>
        <v>225.31924188801713</v>
      </c>
      <c r="AS287" s="5">
        <f t="shared" si="479"/>
        <v>4.4381473664685798</v>
      </c>
      <c r="AT287" s="5">
        <f t="shared" si="508"/>
        <v>2.182554561632176</v>
      </c>
      <c r="AU287" s="5">
        <f t="shared" si="440"/>
        <v>2.2555928048364038</v>
      </c>
      <c r="AV287" s="5"/>
      <c r="AW287" s="153">
        <f t="shared" si="441"/>
        <v>0.49177153920619537</v>
      </c>
      <c r="AX287" s="153"/>
      <c r="BA287" s="147">
        <f t="shared" si="509"/>
        <v>5.8677073027355267</v>
      </c>
      <c r="BB287" s="147">
        <f t="shared" si="510"/>
        <v>8.3563788578231257</v>
      </c>
      <c r="BC287" s="5">
        <f t="shared" si="442"/>
        <v>0.16946781919934886</v>
      </c>
      <c r="BD287" s="147">
        <f t="shared" si="511"/>
        <v>0</v>
      </c>
      <c r="BQ287" s="463">
        <f t="shared" si="512"/>
        <v>2.7121999999999997E-2</v>
      </c>
      <c r="CG287" s="59">
        <f t="shared" si="513"/>
        <v>-50</v>
      </c>
      <c r="CH287">
        <f t="shared" si="514"/>
        <v>-50</v>
      </c>
    </row>
    <row r="288" spans="5:86" x14ac:dyDescent="0.25">
      <c r="E288" s="150">
        <v>72</v>
      </c>
      <c r="F288" s="191">
        <f t="shared" si="515"/>
        <v>7.1999999999999995E-2</v>
      </c>
      <c r="G288" s="191"/>
      <c r="H288" s="191">
        <f t="shared" si="481"/>
        <v>1.44</v>
      </c>
      <c r="I288" s="472">
        <f t="shared" si="482"/>
        <v>21</v>
      </c>
      <c r="J288" s="386">
        <f t="shared" si="483"/>
        <v>20.32</v>
      </c>
      <c r="K288" s="386">
        <f t="shared" si="484"/>
        <v>41.32</v>
      </c>
      <c r="L288" s="386"/>
      <c r="M288" s="191">
        <f t="shared" si="485"/>
        <v>0.49177153920619554</v>
      </c>
      <c r="N288" s="152">
        <f t="shared" si="486"/>
        <v>3.5049491965150041</v>
      </c>
      <c r="O288" s="152">
        <f t="shared" si="478"/>
        <v>1.44</v>
      </c>
      <c r="P288" s="191">
        <f t="shared" si="487"/>
        <v>0.17524745982575021</v>
      </c>
      <c r="Q288" s="191">
        <f t="shared" si="488"/>
        <v>20</v>
      </c>
      <c r="R288" s="191"/>
      <c r="S288" s="152">
        <f t="shared" si="489"/>
        <v>77.523826691346329</v>
      </c>
      <c r="T288" s="152">
        <f t="shared" si="490"/>
        <v>20</v>
      </c>
      <c r="U288" s="191">
        <f t="shared" si="491"/>
        <v>0.30986126734158226</v>
      </c>
      <c r="V288" s="191">
        <f t="shared" si="492"/>
        <v>2.2132947667255873</v>
      </c>
      <c r="W288" s="191">
        <f t="shared" si="493"/>
        <v>2.2873617175805774</v>
      </c>
      <c r="X288" s="175">
        <f t="shared" si="494"/>
        <v>350</v>
      </c>
      <c r="Y288" s="386">
        <f t="shared" si="480"/>
        <v>222.18980797290581</v>
      </c>
      <c r="AA288" s="191">
        <f t="shared" si="495"/>
        <v>0.19670861568247827</v>
      </c>
      <c r="AB288" s="153">
        <f t="shared" si="496"/>
        <v>1.4520813165537272</v>
      </c>
      <c r="AC288" s="153">
        <f t="shared" si="497"/>
        <v>4.9986458486592979E-2</v>
      </c>
      <c r="AD288" s="153"/>
      <c r="AE288" s="153">
        <f t="shared" si="498"/>
        <v>1.1072834645669289</v>
      </c>
      <c r="AF288" s="317">
        <f t="shared" si="499"/>
        <v>866.98666666666668</v>
      </c>
      <c r="AG288" s="463">
        <f t="shared" si="500"/>
        <v>2.9066190944881887E-2</v>
      </c>
      <c r="AI288" s="153">
        <f t="shared" si="501"/>
        <v>0.23608231010149225</v>
      </c>
      <c r="AJ288" s="153">
        <f t="shared" si="502"/>
        <v>0.30986126734158226</v>
      </c>
      <c r="AK288" s="153">
        <f t="shared" si="503"/>
        <v>1.3065741782277214</v>
      </c>
      <c r="AM288" s="317">
        <f t="shared" si="504"/>
        <v>72</v>
      </c>
      <c r="AN288" s="147">
        <f t="shared" si="505"/>
        <v>222.18980797290581</v>
      </c>
      <c r="AP288">
        <f t="shared" si="506"/>
        <v>72</v>
      </c>
      <c r="AQ288">
        <f t="shared" si="507"/>
        <v>222.18980797290581</v>
      </c>
      <c r="AS288" s="5">
        <f t="shared" si="479"/>
        <v>4.5006564843061643</v>
      </c>
      <c r="AT288" s="5">
        <f t="shared" si="508"/>
        <v>2.2132947667255873</v>
      </c>
      <c r="AU288" s="5">
        <f t="shared" si="440"/>
        <v>2.2873617175805769</v>
      </c>
      <c r="AV288" s="5"/>
      <c r="AW288" s="153">
        <f t="shared" si="441"/>
        <v>0.4917715392061956</v>
      </c>
      <c r="AX288" s="153"/>
      <c r="BA288" s="147">
        <f t="shared" si="509"/>
        <v>5.8677073027355267</v>
      </c>
      <c r="BB288" s="147">
        <f t="shared" si="510"/>
        <v>8.5903852408163246</v>
      </c>
      <c r="BC288" s="5">
        <f t="shared" si="442"/>
        <v>0.17427517848232965</v>
      </c>
      <c r="BD288" s="147">
        <f t="shared" si="511"/>
        <v>0</v>
      </c>
      <c r="BQ288" s="463">
        <f t="shared" si="512"/>
        <v>2.7503999999999997E-2</v>
      </c>
      <c r="CG288" s="59">
        <f t="shared" si="513"/>
        <v>-50</v>
      </c>
      <c r="CH288">
        <f t="shared" si="514"/>
        <v>-50</v>
      </c>
    </row>
    <row r="289" spans="5:86" x14ac:dyDescent="0.25">
      <c r="E289" s="150">
        <v>73</v>
      </c>
      <c r="F289" s="191">
        <f t="shared" si="515"/>
        <v>7.2999999999999995E-2</v>
      </c>
      <c r="G289" s="191"/>
      <c r="H289" s="191">
        <f t="shared" si="481"/>
        <v>1.46</v>
      </c>
      <c r="I289" s="472">
        <f t="shared" si="482"/>
        <v>21</v>
      </c>
      <c r="J289" s="386">
        <f t="shared" si="483"/>
        <v>20.32</v>
      </c>
      <c r="K289" s="386">
        <f t="shared" si="484"/>
        <v>41.32</v>
      </c>
      <c r="L289" s="386"/>
      <c r="M289" s="191">
        <f t="shared" si="485"/>
        <v>0.49177153920619554</v>
      </c>
      <c r="N289" s="152">
        <f t="shared" si="486"/>
        <v>3.5049491965150041</v>
      </c>
      <c r="O289" s="152">
        <f t="shared" si="478"/>
        <v>1.46</v>
      </c>
      <c r="P289" s="191">
        <f t="shared" si="487"/>
        <v>0.17524745982575021</v>
      </c>
      <c r="Q289" s="191">
        <f t="shared" si="488"/>
        <v>20</v>
      </c>
      <c r="R289" s="191"/>
      <c r="S289" s="152">
        <f t="shared" si="489"/>
        <v>76.176887806948244</v>
      </c>
      <c r="T289" s="152">
        <f t="shared" si="490"/>
        <v>20</v>
      </c>
      <c r="U289" s="191">
        <f t="shared" si="491"/>
        <v>0.3141648960546598</v>
      </c>
      <c r="V289" s="191">
        <f t="shared" si="492"/>
        <v>2.2440349718189982</v>
      </c>
      <c r="W289" s="191">
        <f t="shared" si="493"/>
        <v>2.3191306303247523</v>
      </c>
      <c r="X289" s="175">
        <f t="shared" si="494"/>
        <v>350</v>
      </c>
      <c r="Y289" s="386">
        <f t="shared" si="480"/>
        <v>219.14611197327693</v>
      </c>
      <c r="AA289" s="191">
        <f t="shared" si="495"/>
        <v>0.19670861568247827</v>
      </c>
      <c r="AB289" s="153">
        <f t="shared" si="496"/>
        <v>1.4520813165537272</v>
      </c>
      <c r="AC289" s="153">
        <f t="shared" si="497"/>
        <v>4.9986458486592979E-2</v>
      </c>
      <c r="AD289" s="153"/>
      <c r="AE289" s="153">
        <f t="shared" si="498"/>
        <v>1.1072834645669289</v>
      </c>
      <c r="AF289" s="317">
        <f t="shared" si="499"/>
        <v>879.02814814814815</v>
      </c>
      <c r="AG289" s="463">
        <f t="shared" si="500"/>
        <v>2.9066190944881887E-2</v>
      </c>
      <c r="AI289" s="153">
        <f t="shared" si="501"/>
        <v>0.23771611720906177</v>
      </c>
      <c r="AJ289" s="153">
        <f t="shared" si="502"/>
        <v>0.3141648960546598</v>
      </c>
      <c r="AK289" s="153">
        <f t="shared" si="503"/>
        <v>1.3094432640364397</v>
      </c>
      <c r="AM289" s="317">
        <f t="shared" si="504"/>
        <v>73</v>
      </c>
      <c r="AN289" s="147">
        <f t="shared" si="505"/>
        <v>219.14611197327693</v>
      </c>
      <c r="AP289">
        <f t="shared" si="506"/>
        <v>73</v>
      </c>
      <c r="AQ289">
        <f t="shared" si="507"/>
        <v>219.14611197327693</v>
      </c>
      <c r="AS289" s="5">
        <f t="shared" si="479"/>
        <v>4.5631656021437506</v>
      </c>
      <c r="AT289" s="5">
        <f t="shared" si="508"/>
        <v>2.2440349718189982</v>
      </c>
      <c r="AU289" s="5">
        <f t="shared" si="440"/>
        <v>2.3191306303247523</v>
      </c>
      <c r="AV289" s="5"/>
      <c r="AW289" s="153">
        <f t="shared" si="441"/>
        <v>0.49177153920619554</v>
      </c>
      <c r="AX289" s="153"/>
      <c r="BA289" s="147">
        <f t="shared" si="509"/>
        <v>5.8677073027355267</v>
      </c>
      <c r="BB289" s="147">
        <f t="shared" si="510"/>
        <v>8.8276224823129237</v>
      </c>
      <c r="BC289" s="5">
        <f t="shared" si="442"/>
        <v>0.17914977355947823</v>
      </c>
      <c r="BD289" s="147">
        <f t="shared" si="511"/>
        <v>0</v>
      </c>
      <c r="BQ289" s="463">
        <f t="shared" si="512"/>
        <v>2.7885999999999998E-2</v>
      </c>
      <c r="CG289" s="59">
        <f t="shared" si="513"/>
        <v>-50</v>
      </c>
      <c r="CH289">
        <f t="shared" si="514"/>
        <v>-50</v>
      </c>
    </row>
    <row r="290" spans="5:86" x14ac:dyDescent="0.25">
      <c r="E290" s="150">
        <v>74</v>
      </c>
      <c r="F290" s="191">
        <f t="shared" si="515"/>
        <v>7.3999999999999996E-2</v>
      </c>
      <c r="G290" s="191"/>
      <c r="H290" s="191">
        <f t="shared" si="481"/>
        <v>1.48</v>
      </c>
      <c r="I290" s="472">
        <f t="shared" si="482"/>
        <v>21</v>
      </c>
      <c r="J290" s="386">
        <f t="shared" si="483"/>
        <v>20.32</v>
      </c>
      <c r="K290" s="386">
        <f t="shared" si="484"/>
        <v>41.32</v>
      </c>
      <c r="L290" s="386"/>
      <c r="M290" s="191">
        <f t="shared" si="485"/>
        <v>0.49177153920619554</v>
      </c>
      <c r="N290" s="152">
        <f t="shared" si="486"/>
        <v>3.5049491965150041</v>
      </c>
      <c r="O290" s="152">
        <f t="shared" si="478"/>
        <v>1.48</v>
      </c>
      <c r="P290" s="191">
        <f t="shared" si="487"/>
        <v>0.17524745982575021</v>
      </c>
      <c r="Q290" s="191">
        <f t="shared" si="488"/>
        <v>20</v>
      </c>
      <c r="R290" s="191"/>
      <c r="S290" s="152">
        <f t="shared" si="489"/>
        <v>74.866404887426953</v>
      </c>
      <c r="T290" s="152">
        <f t="shared" si="490"/>
        <v>20</v>
      </c>
      <c r="U290" s="191">
        <f t="shared" si="491"/>
        <v>0.31846852476773735</v>
      </c>
      <c r="V290" s="191">
        <f t="shared" si="492"/>
        <v>2.2747751769124096</v>
      </c>
      <c r="W290" s="191">
        <f t="shared" si="493"/>
        <v>2.3508995430689268</v>
      </c>
      <c r="X290" s="175">
        <f t="shared" si="494"/>
        <v>350</v>
      </c>
      <c r="Y290" s="386">
        <f t="shared" si="480"/>
        <v>216.18467802769206</v>
      </c>
      <c r="AA290" s="191">
        <f t="shared" si="495"/>
        <v>0.19670861568247827</v>
      </c>
      <c r="AB290" s="153">
        <f t="shared" si="496"/>
        <v>1.4520813165537272</v>
      </c>
      <c r="AC290" s="153">
        <f t="shared" si="497"/>
        <v>4.9986458486592979E-2</v>
      </c>
      <c r="AD290" s="153"/>
      <c r="AE290" s="153">
        <f t="shared" si="498"/>
        <v>1.1072834645669289</v>
      </c>
      <c r="AF290" s="317">
        <f t="shared" si="499"/>
        <v>891.06962962962962</v>
      </c>
      <c r="AG290" s="463">
        <f t="shared" si="500"/>
        <v>2.9066190944881887E-2</v>
      </c>
      <c r="AI290" s="153">
        <f t="shared" si="501"/>
        <v>0.23933877165860032</v>
      </c>
      <c r="AJ290" s="153">
        <f t="shared" si="502"/>
        <v>0.31846852476773735</v>
      </c>
      <c r="AK290" s="153">
        <f t="shared" si="503"/>
        <v>1.3123123498451581</v>
      </c>
      <c r="AM290" s="317">
        <f t="shared" si="504"/>
        <v>74</v>
      </c>
      <c r="AN290" s="147">
        <f t="shared" si="505"/>
        <v>216.18467802769206</v>
      </c>
      <c r="AP290">
        <f t="shared" si="506"/>
        <v>74</v>
      </c>
      <c r="AQ290">
        <f t="shared" si="507"/>
        <v>216.18467802769206</v>
      </c>
      <c r="AS290" s="5">
        <f t="shared" si="479"/>
        <v>4.6256747199813377</v>
      </c>
      <c r="AT290" s="5">
        <f t="shared" si="508"/>
        <v>2.2747751769124096</v>
      </c>
      <c r="AU290" s="5">
        <f t="shared" si="440"/>
        <v>2.3508995430689281</v>
      </c>
      <c r="AV290" s="5"/>
      <c r="AW290" s="153">
        <f t="shared" si="441"/>
        <v>0.49177153920619543</v>
      </c>
      <c r="AX290" s="153"/>
      <c r="BA290" s="147">
        <f t="shared" si="509"/>
        <v>5.8677073027355267</v>
      </c>
      <c r="BB290" s="147">
        <f t="shared" si="510"/>
        <v>9.068090582312923</v>
      </c>
      <c r="BC290" s="5">
        <f t="shared" si="442"/>
        <v>0.18409160443079434</v>
      </c>
      <c r="BD290" s="147">
        <f t="shared" si="511"/>
        <v>0</v>
      </c>
      <c r="BQ290" s="463">
        <f t="shared" si="512"/>
        <v>2.8268000000000001E-2</v>
      </c>
      <c r="CG290" s="59">
        <f t="shared" si="513"/>
        <v>-50</v>
      </c>
      <c r="CH290">
        <f t="shared" si="514"/>
        <v>-50</v>
      </c>
    </row>
    <row r="291" spans="5:86" x14ac:dyDescent="0.25">
      <c r="E291" s="150">
        <v>75</v>
      </c>
      <c r="F291" s="191">
        <f t="shared" si="515"/>
        <v>7.5000000000000011E-2</v>
      </c>
      <c r="G291" s="191"/>
      <c r="H291" s="191">
        <f t="shared" si="481"/>
        <v>1.5000000000000002</v>
      </c>
      <c r="I291" s="472">
        <f t="shared" si="482"/>
        <v>21</v>
      </c>
      <c r="J291" s="386">
        <f t="shared" si="483"/>
        <v>20.32</v>
      </c>
      <c r="K291" s="386">
        <f t="shared" si="484"/>
        <v>41.32</v>
      </c>
      <c r="L291" s="386"/>
      <c r="M291" s="191">
        <f t="shared" si="485"/>
        <v>0.49177153920619554</v>
      </c>
      <c r="N291" s="152">
        <f t="shared" si="486"/>
        <v>3.5049491965150041</v>
      </c>
      <c r="O291" s="152">
        <f t="shared" si="478"/>
        <v>1.5000000000000002</v>
      </c>
      <c r="P291" s="191">
        <f t="shared" si="487"/>
        <v>0.17524745982575021</v>
      </c>
      <c r="Q291" s="191">
        <f t="shared" si="488"/>
        <v>20</v>
      </c>
      <c r="R291" s="191"/>
      <c r="S291" s="152">
        <f t="shared" si="489"/>
        <v>73.590920258825975</v>
      </c>
      <c r="T291" s="152">
        <f t="shared" si="490"/>
        <v>20</v>
      </c>
      <c r="U291" s="191">
        <f t="shared" si="491"/>
        <v>0.32277215348081495</v>
      </c>
      <c r="V291" s="191">
        <f t="shared" si="492"/>
        <v>2.3055153820058205</v>
      </c>
      <c r="W291" s="191">
        <f t="shared" si="493"/>
        <v>2.3826684558131022</v>
      </c>
      <c r="X291" s="175">
        <f t="shared" si="494"/>
        <v>350</v>
      </c>
      <c r="Y291" s="386">
        <f t="shared" si="480"/>
        <v>213.30221565398952</v>
      </c>
      <c r="AA291" s="191">
        <f t="shared" si="495"/>
        <v>0.19670861568247827</v>
      </c>
      <c r="AB291" s="153">
        <f t="shared" si="496"/>
        <v>1.4520813165537272</v>
      </c>
      <c r="AC291" s="153">
        <f t="shared" si="497"/>
        <v>4.9986458486592979E-2</v>
      </c>
      <c r="AD291" s="153"/>
      <c r="AE291" s="153">
        <f t="shared" si="498"/>
        <v>1.1072834645669289</v>
      </c>
      <c r="AF291" s="317">
        <f t="shared" si="499"/>
        <v>903.11111111111131</v>
      </c>
      <c r="AG291" s="463">
        <f t="shared" si="500"/>
        <v>2.9066190944881887E-2</v>
      </c>
      <c r="AI291" s="153">
        <f t="shared" si="501"/>
        <v>0.24095049876923449</v>
      </c>
      <c r="AJ291" s="153">
        <f t="shared" si="502"/>
        <v>0.32277215348081495</v>
      </c>
      <c r="AK291" s="153">
        <f t="shared" si="503"/>
        <v>1.3151814356538767</v>
      </c>
      <c r="AM291" s="317">
        <f t="shared" si="504"/>
        <v>75.000000000000014</v>
      </c>
      <c r="AN291" s="147">
        <f t="shared" si="505"/>
        <v>213.30221565398952</v>
      </c>
      <c r="AP291">
        <f t="shared" si="506"/>
        <v>75.000000000000014</v>
      </c>
      <c r="AQ291">
        <f t="shared" si="507"/>
        <v>213.30221565398952</v>
      </c>
      <c r="AS291" s="5">
        <f t="shared" si="479"/>
        <v>4.6881838378189222</v>
      </c>
      <c r="AT291" s="5">
        <f t="shared" si="508"/>
        <v>2.3055153820058205</v>
      </c>
      <c r="AU291" s="5">
        <f t="shared" si="440"/>
        <v>2.3826684558131017</v>
      </c>
      <c r="AV291" s="5"/>
      <c r="AW291" s="153">
        <f t="shared" si="441"/>
        <v>0.49177153920619554</v>
      </c>
      <c r="AX291" s="153"/>
      <c r="BA291" s="147">
        <f t="shared" si="509"/>
        <v>5.8677073027355267</v>
      </c>
      <c r="BB291" s="147">
        <f t="shared" si="510"/>
        <v>9.3117895408163278</v>
      </c>
      <c r="BC291" s="5">
        <f t="shared" si="442"/>
        <v>0.18910067109627793</v>
      </c>
      <c r="BD291" s="147">
        <f t="shared" si="511"/>
        <v>0</v>
      </c>
      <c r="BQ291" s="463">
        <f t="shared" si="512"/>
        <v>2.8650000000000005E-2</v>
      </c>
      <c r="CG291" s="59">
        <f t="shared" si="513"/>
        <v>-50</v>
      </c>
      <c r="CH291">
        <f t="shared" si="514"/>
        <v>-50</v>
      </c>
    </row>
    <row r="292" spans="5:86" x14ac:dyDescent="0.25">
      <c r="E292" s="150">
        <v>76</v>
      </c>
      <c r="F292" s="191">
        <f t="shared" si="515"/>
        <v>7.6000000000000012E-2</v>
      </c>
      <c r="G292" s="191"/>
      <c r="H292" s="191">
        <f t="shared" si="481"/>
        <v>1.5200000000000002</v>
      </c>
      <c r="I292" s="472">
        <f t="shared" si="482"/>
        <v>21</v>
      </c>
      <c r="J292" s="386">
        <f t="shared" si="483"/>
        <v>20.32</v>
      </c>
      <c r="K292" s="386">
        <f t="shared" si="484"/>
        <v>41.32</v>
      </c>
      <c r="L292" s="386"/>
      <c r="M292" s="191">
        <f t="shared" si="485"/>
        <v>0.49177153920619554</v>
      </c>
      <c r="N292" s="152">
        <f t="shared" si="486"/>
        <v>3.5049491965150041</v>
      </c>
      <c r="O292" s="152">
        <f t="shared" si="478"/>
        <v>1.5200000000000002</v>
      </c>
      <c r="P292" s="191">
        <f t="shared" si="487"/>
        <v>0.17524745982575021</v>
      </c>
      <c r="Q292" s="191">
        <f t="shared" si="488"/>
        <v>20</v>
      </c>
      <c r="R292" s="191"/>
      <c r="S292" s="152">
        <f t="shared" si="489"/>
        <v>72.34905297482446</v>
      </c>
      <c r="T292" s="152">
        <f t="shared" si="490"/>
        <v>20</v>
      </c>
      <c r="U292" s="191">
        <f t="shared" si="491"/>
        <v>0.32707578219389244</v>
      </c>
      <c r="V292" s="191">
        <f t="shared" si="492"/>
        <v>2.3362555870992314</v>
      </c>
      <c r="W292" s="191">
        <f t="shared" si="493"/>
        <v>2.4144373685572766</v>
      </c>
      <c r="X292" s="175">
        <f t="shared" si="494"/>
        <v>350</v>
      </c>
      <c r="Y292" s="386">
        <f t="shared" si="480"/>
        <v>210.49560755327914</v>
      </c>
      <c r="AA292" s="191">
        <f t="shared" si="495"/>
        <v>0.19670861568247827</v>
      </c>
      <c r="AB292" s="153">
        <f t="shared" si="496"/>
        <v>1.4520813165537272</v>
      </c>
      <c r="AC292" s="153">
        <f t="shared" si="497"/>
        <v>4.9986458486592979E-2</v>
      </c>
      <c r="AD292" s="153"/>
      <c r="AE292" s="153">
        <f t="shared" si="498"/>
        <v>1.1072834645669289</v>
      </c>
      <c r="AF292" s="317">
        <f t="shared" si="499"/>
        <v>915.15259259259278</v>
      </c>
      <c r="AG292" s="463">
        <f t="shared" si="500"/>
        <v>2.9066190944881887E-2</v>
      </c>
      <c r="AI292" s="153">
        <f t="shared" si="501"/>
        <v>0.24255151637381719</v>
      </c>
      <c r="AJ292" s="153">
        <f t="shared" si="502"/>
        <v>0.32707578219389244</v>
      </c>
      <c r="AK292" s="153">
        <f t="shared" si="503"/>
        <v>1.3180505214625948</v>
      </c>
      <c r="AM292" s="317">
        <f t="shared" si="504"/>
        <v>76.000000000000014</v>
      </c>
      <c r="AN292" s="147">
        <f t="shared" si="505"/>
        <v>210.49560755327914</v>
      </c>
      <c r="AP292">
        <f t="shared" si="506"/>
        <v>76.000000000000014</v>
      </c>
      <c r="AQ292">
        <f t="shared" si="507"/>
        <v>210.49560755327914</v>
      </c>
      <c r="AS292" s="5">
        <f t="shared" si="479"/>
        <v>4.7506929556565076</v>
      </c>
      <c r="AT292" s="5">
        <f t="shared" si="508"/>
        <v>2.3362555870992314</v>
      </c>
      <c r="AU292" s="5">
        <f t="shared" si="440"/>
        <v>2.4144373685572762</v>
      </c>
      <c r="AV292" s="5"/>
      <c r="AW292" s="153">
        <f t="shared" si="441"/>
        <v>0.4917715392061956</v>
      </c>
      <c r="AX292" s="153"/>
      <c r="BA292" s="147">
        <f t="shared" si="509"/>
        <v>5.8677073027355267</v>
      </c>
      <c r="BB292" s="147">
        <f t="shared" si="510"/>
        <v>9.5587193578231311</v>
      </c>
      <c r="BC292" s="5">
        <f t="shared" si="442"/>
        <v>0.19417697355592914</v>
      </c>
      <c r="BD292" s="147">
        <f t="shared" si="511"/>
        <v>0</v>
      </c>
      <c r="BQ292" s="463">
        <f t="shared" si="512"/>
        <v>2.9032000000000006E-2</v>
      </c>
      <c r="CG292" s="59">
        <f t="shared" si="513"/>
        <v>-50</v>
      </c>
      <c r="CH292">
        <f t="shared" si="514"/>
        <v>-50</v>
      </c>
    </row>
    <row r="293" spans="5:86" x14ac:dyDescent="0.25">
      <c r="E293" s="150">
        <v>77</v>
      </c>
      <c r="F293" s="191">
        <f t="shared" si="515"/>
        <v>7.7000000000000013E-2</v>
      </c>
      <c r="G293" s="191"/>
      <c r="H293" s="191">
        <f t="shared" si="481"/>
        <v>1.5400000000000003</v>
      </c>
      <c r="I293" s="472">
        <f t="shared" si="482"/>
        <v>21</v>
      </c>
      <c r="J293" s="386">
        <f t="shared" si="483"/>
        <v>20.32</v>
      </c>
      <c r="K293" s="386">
        <f t="shared" si="484"/>
        <v>41.32</v>
      </c>
      <c r="L293" s="386"/>
      <c r="M293" s="191">
        <f t="shared" si="485"/>
        <v>0.49177153920619554</v>
      </c>
      <c r="N293" s="152">
        <f t="shared" si="486"/>
        <v>3.5049491965150041</v>
      </c>
      <c r="O293" s="152">
        <f t="shared" si="478"/>
        <v>1.5400000000000003</v>
      </c>
      <c r="P293" s="191">
        <f t="shared" si="487"/>
        <v>0.17524745982575021</v>
      </c>
      <c r="Q293" s="191">
        <f t="shared" si="488"/>
        <v>20</v>
      </c>
      <c r="R293" s="191"/>
      <c r="S293" s="152">
        <f t="shared" si="489"/>
        <v>71.139493834559474</v>
      </c>
      <c r="T293" s="152">
        <f t="shared" si="490"/>
        <v>20</v>
      </c>
      <c r="U293" s="191">
        <f t="shared" si="491"/>
        <v>0.33137941090696998</v>
      </c>
      <c r="V293" s="191">
        <f t="shared" si="492"/>
        <v>2.3669957921926423</v>
      </c>
      <c r="W293" s="191">
        <f t="shared" si="493"/>
        <v>2.4462062813014511</v>
      </c>
      <c r="X293" s="175">
        <f t="shared" si="494"/>
        <v>350</v>
      </c>
      <c r="Y293" s="386">
        <f t="shared" si="480"/>
        <v>207.76189836427554</v>
      </c>
      <c r="AA293" s="191">
        <f t="shared" si="495"/>
        <v>0.19670861568247827</v>
      </c>
      <c r="AB293" s="153">
        <f t="shared" si="496"/>
        <v>1.4520813165537272</v>
      </c>
      <c r="AC293" s="153">
        <f t="shared" si="497"/>
        <v>4.9986458486592979E-2</v>
      </c>
      <c r="AD293" s="153"/>
      <c r="AE293" s="153">
        <f t="shared" si="498"/>
        <v>1.1072834645669289</v>
      </c>
      <c r="AF293" s="317">
        <f t="shared" si="499"/>
        <v>927.19407407407425</v>
      </c>
      <c r="AG293" s="463">
        <f t="shared" si="500"/>
        <v>2.9066190944881887E-2</v>
      </c>
      <c r="AI293" s="153">
        <f t="shared" si="501"/>
        <v>0.24414203516259414</v>
      </c>
      <c r="AJ293" s="153">
        <f t="shared" si="502"/>
        <v>0.33137941090696998</v>
      </c>
      <c r="AK293" s="153">
        <f t="shared" si="503"/>
        <v>1.3209196072713132</v>
      </c>
      <c r="AM293" s="317">
        <f t="shared" si="504"/>
        <v>77.000000000000014</v>
      </c>
      <c r="AN293" s="147">
        <f t="shared" si="505"/>
        <v>207.76189836427554</v>
      </c>
      <c r="AP293">
        <f t="shared" si="506"/>
        <v>77.000000000000014</v>
      </c>
      <c r="AQ293">
        <f t="shared" si="507"/>
        <v>207.76189836427554</v>
      </c>
      <c r="AS293" s="5">
        <f t="shared" si="479"/>
        <v>4.813202073494093</v>
      </c>
      <c r="AT293" s="5">
        <f t="shared" si="508"/>
        <v>2.3669957921926423</v>
      </c>
      <c r="AU293" s="5">
        <f t="shared" si="440"/>
        <v>2.4462062813014507</v>
      </c>
      <c r="AV293" s="5"/>
      <c r="AW293" s="153">
        <f t="shared" si="441"/>
        <v>0.4917715392061956</v>
      </c>
      <c r="AX293" s="153"/>
      <c r="BA293" s="147">
        <f t="shared" si="509"/>
        <v>5.8677073027355267</v>
      </c>
      <c r="BB293" s="147">
        <f t="shared" si="510"/>
        <v>9.8088800333333364</v>
      </c>
      <c r="BC293" s="5">
        <f t="shared" si="442"/>
        <v>0.19932051180974786</v>
      </c>
      <c r="BD293" s="147">
        <f t="shared" si="511"/>
        <v>0</v>
      </c>
      <c r="BQ293" s="463">
        <f t="shared" si="512"/>
        <v>2.9414000000000006E-2</v>
      </c>
      <c r="CG293" s="59">
        <f t="shared" si="513"/>
        <v>-50</v>
      </c>
      <c r="CH293">
        <f t="shared" si="514"/>
        <v>-50</v>
      </c>
    </row>
    <row r="294" spans="5:86" x14ac:dyDescent="0.25">
      <c r="E294" s="150">
        <v>78</v>
      </c>
      <c r="F294" s="191">
        <f t="shared" si="515"/>
        <v>7.8000000000000014E-2</v>
      </c>
      <c r="G294" s="191"/>
      <c r="H294" s="191">
        <f t="shared" si="481"/>
        <v>1.5600000000000003</v>
      </c>
      <c r="I294" s="472">
        <f t="shared" si="482"/>
        <v>21</v>
      </c>
      <c r="J294" s="386">
        <f t="shared" si="483"/>
        <v>20.32</v>
      </c>
      <c r="K294" s="386">
        <f t="shared" si="484"/>
        <v>41.32</v>
      </c>
      <c r="L294" s="386"/>
      <c r="M294" s="191">
        <f t="shared" si="485"/>
        <v>0.49177153920619554</v>
      </c>
      <c r="N294" s="152">
        <f t="shared" si="486"/>
        <v>3.5049491965150041</v>
      </c>
      <c r="O294" s="152">
        <f t="shared" si="478"/>
        <v>1.5600000000000003</v>
      </c>
      <c r="P294" s="191">
        <f t="shared" si="487"/>
        <v>0.17524745982575021</v>
      </c>
      <c r="Q294" s="191">
        <f t="shared" si="488"/>
        <v>20</v>
      </c>
      <c r="R294" s="191"/>
      <c r="S294" s="152">
        <f t="shared" si="489"/>
        <v>69.96100078369561</v>
      </c>
      <c r="T294" s="152">
        <f t="shared" si="490"/>
        <v>20</v>
      </c>
      <c r="U294" s="191">
        <f t="shared" si="491"/>
        <v>0.33568303962004753</v>
      </c>
      <c r="V294" s="191">
        <f t="shared" si="492"/>
        <v>2.3977359972860537</v>
      </c>
      <c r="W294" s="191">
        <f t="shared" si="493"/>
        <v>2.4779751940456261</v>
      </c>
      <c r="X294" s="175">
        <f t="shared" si="494"/>
        <v>350</v>
      </c>
      <c r="Y294" s="386">
        <f t="shared" si="480"/>
        <v>205.09828428268222</v>
      </c>
      <c r="AA294" s="191">
        <f t="shared" si="495"/>
        <v>0.19670861568247827</v>
      </c>
      <c r="AB294" s="153">
        <f t="shared" si="496"/>
        <v>1.4520813165537272</v>
      </c>
      <c r="AC294" s="153">
        <f t="shared" si="497"/>
        <v>4.9986458486592979E-2</v>
      </c>
      <c r="AD294" s="153"/>
      <c r="AE294" s="153">
        <f t="shared" si="498"/>
        <v>1.1072834645669289</v>
      </c>
      <c r="AF294" s="317">
        <f t="shared" si="499"/>
        <v>939.23555555555572</v>
      </c>
      <c r="AG294" s="463">
        <f t="shared" si="500"/>
        <v>2.9066190944881887E-2</v>
      </c>
      <c r="AI294" s="153">
        <f t="shared" si="501"/>
        <v>0.24572225900684819</v>
      </c>
      <c r="AJ294" s="153">
        <f t="shared" si="502"/>
        <v>0.33568303962004753</v>
      </c>
      <c r="AK294" s="153">
        <f t="shared" si="503"/>
        <v>1.3237886930800316</v>
      </c>
      <c r="AM294" s="317">
        <f t="shared" si="504"/>
        <v>78.000000000000014</v>
      </c>
      <c r="AN294" s="147">
        <f t="shared" si="505"/>
        <v>205.09828428268222</v>
      </c>
      <c r="AP294">
        <f t="shared" si="506"/>
        <v>78.000000000000014</v>
      </c>
      <c r="AQ294">
        <f t="shared" si="507"/>
        <v>205.09828428268222</v>
      </c>
      <c r="AS294" s="5">
        <f t="shared" si="479"/>
        <v>4.8757111913316793</v>
      </c>
      <c r="AT294" s="5">
        <f t="shared" si="508"/>
        <v>2.3977359972860537</v>
      </c>
      <c r="AU294" s="5">
        <f t="shared" si="440"/>
        <v>2.4779751940456256</v>
      </c>
      <c r="AV294" s="5"/>
      <c r="AW294" s="153">
        <f t="shared" si="441"/>
        <v>0.4917715392061956</v>
      </c>
      <c r="AX294" s="153"/>
      <c r="BA294" s="147">
        <f t="shared" si="509"/>
        <v>5.8677073027355267</v>
      </c>
      <c r="BB294" s="147">
        <f t="shared" si="510"/>
        <v>10.06227156734694</v>
      </c>
      <c r="BC294" s="5">
        <f t="shared" si="442"/>
        <v>0.2045312858577342</v>
      </c>
      <c r="BD294" s="147">
        <f t="shared" si="511"/>
        <v>0</v>
      </c>
      <c r="BQ294" s="463">
        <f t="shared" si="512"/>
        <v>2.9796000000000003E-2</v>
      </c>
      <c r="CG294" s="59">
        <f t="shared" si="513"/>
        <v>-50</v>
      </c>
      <c r="CH294">
        <f t="shared" si="514"/>
        <v>-50</v>
      </c>
    </row>
    <row r="295" spans="5:86" x14ac:dyDescent="0.25">
      <c r="E295" s="150">
        <v>79</v>
      </c>
      <c r="F295" s="191">
        <f t="shared" si="515"/>
        <v>7.9000000000000015E-2</v>
      </c>
      <c r="G295" s="191"/>
      <c r="H295" s="191">
        <f t="shared" si="481"/>
        <v>1.5800000000000003</v>
      </c>
      <c r="I295" s="472">
        <f t="shared" si="482"/>
        <v>21</v>
      </c>
      <c r="J295" s="386">
        <f t="shared" si="483"/>
        <v>20.32</v>
      </c>
      <c r="K295" s="386">
        <f t="shared" si="484"/>
        <v>41.32</v>
      </c>
      <c r="L295" s="386"/>
      <c r="M295" s="191">
        <f t="shared" si="485"/>
        <v>0.49177153920619554</v>
      </c>
      <c r="N295" s="152">
        <f t="shared" si="486"/>
        <v>3.5049491965150041</v>
      </c>
      <c r="O295" s="152">
        <f t="shared" si="478"/>
        <v>1.5800000000000003</v>
      </c>
      <c r="P295" s="191">
        <f t="shared" si="487"/>
        <v>0.17524745982575021</v>
      </c>
      <c r="Q295" s="191">
        <f t="shared" si="488"/>
        <v>20</v>
      </c>
      <c r="R295" s="191"/>
      <c r="S295" s="152">
        <f t="shared" si="489"/>
        <v>68.812394664783383</v>
      </c>
      <c r="T295" s="152">
        <f t="shared" si="490"/>
        <v>20</v>
      </c>
      <c r="U295" s="191">
        <f t="shared" si="491"/>
        <v>0.33998666833312507</v>
      </c>
      <c r="V295" s="191">
        <f t="shared" si="492"/>
        <v>2.4284762023794646</v>
      </c>
      <c r="W295" s="191">
        <f t="shared" si="493"/>
        <v>2.509744106789801</v>
      </c>
      <c r="X295" s="175">
        <f t="shared" si="494"/>
        <v>350</v>
      </c>
      <c r="Y295" s="386">
        <f t="shared" si="480"/>
        <v>202.50210346897737</v>
      </c>
      <c r="AA295" s="191">
        <f t="shared" si="495"/>
        <v>0.19670861568247827</v>
      </c>
      <c r="AB295" s="153">
        <f t="shared" si="496"/>
        <v>1.4520813165537272</v>
      </c>
      <c r="AC295" s="153">
        <f t="shared" si="497"/>
        <v>4.9986458486592979E-2</v>
      </c>
      <c r="AD295" s="153"/>
      <c r="AE295" s="153">
        <f t="shared" si="498"/>
        <v>1.1072834645669289</v>
      </c>
      <c r="AF295" s="317">
        <f t="shared" si="499"/>
        <v>951.2770370370373</v>
      </c>
      <c r="AG295" s="463">
        <f t="shared" si="500"/>
        <v>2.9066190944881887E-2</v>
      </c>
      <c r="AI295" s="153">
        <f t="shared" si="501"/>
        <v>0.24729238526392969</v>
      </c>
      <c r="AJ295" s="153">
        <f t="shared" si="502"/>
        <v>0.33998666833312507</v>
      </c>
      <c r="AK295" s="153">
        <f t="shared" si="503"/>
        <v>1.3266577788887499</v>
      </c>
      <c r="AM295" s="317">
        <f t="shared" si="504"/>
        <v>79.000000000000014</v>
      </c>
      <c r="AN295" s="147">
        <f t="shared" si="505"/>
        <v>202.50210346897737</v>
      </c>
      <c r="AP295">
        <f t="shared" si="506"/>
        <v>79.000000000000014</v>
      </c>
      <c r="AQ295">
        <f t="shared" si="507"/>
        <v>202.50210346897737</v>
      </c>
      <c r="AS295" s="5">
        <f t="shared" si="479"/>
        <v>4.9382203091692656</v>
      </c>
      <c r="AT295" s="5">
        <f t="shared" si="508"/>
        <v>2.4284762023794646</v>
      </c>
      <c r="AU295" s="5">
        <f t="shared" si="440"/>
        <v>2.509744106789801</v>
      </c>
      <c r="AV295" s="5"/>
      <c r="AW295" s="153">
        <f t="shared" si="441"/>
        <v>0.49177153920619554</v>
      </c>
      <c r="AX295" s="153"/>
      <c r="BA295" s="147">
        <f t="shared" si="509"/>
        <v>5.8677073027355267</v>
      </c>
      <c r="BB295" s="147">
        <f t="shared" si="510"/>
        <v>10.318893959863951</v>
      </c>
      <c r="BC295" s="5">
        <f t="shared" si="442"/>
        <v>0.20980929569988813</v>
      </c>
      <c r="BD295" s="147">
        <f t="shared" si="511"/>
        <v>0</v>
      </c>
      <c r="BQ295" s="463">
        <f t="shared" si="512"/>
        <v>3.0178000000000007E-2</v>
      </c>
      <c r="CG295" s="59">
        <f t="shared" si="513"/>
        <v>-50</v>
      </c>
      <c r="CH295">
        <f t="shared" si="514"/>
        <v>-50</v>
      </c>
    </row>
    <row r="296" spans="5:86" x14ac:dyDescent="0.25">
      <c r="E296" s="150">
        <v>80</v>
      </c>
      <c r="F296" s="191">
        <f t="shared" si="515"/>
        <v>8.0000000000000016E-2</v>
      </c>
      <c r="G296" s="191"/>
      <c r="H296" s="191">
        <f t="shared" si="481"/>
        <v>1.6000000000000003</v>
      </c>
      <c r="I296" s="472">
        <f t="shared" si="482"/>
        <v>21</v>
      </c>
      <c r="J296" s="386">
        <f t="shared" si="483"/>
        <v>20.32</v>
      </c>
      <c r="K296" s="386">
        <f t="shared" si="484"/>
        <v>41.32</v>
      </c>
      <c r="L296" s="386"/>
      <c r="M296" s="191">
        <f t="shared" si="485"/>
        <v>0.49177153920619554</v>
      </c>
      <c r="N296" s="152">
        <f t="shared" si="486"/>
        <v>3.5049491965150041</v>
      </c>
      <c r="O296" s="152">
        <f t="shared" si="478"/>
        <v>1.6000000000000003</v>
      </c>
      <c r="P296" s="191">
        <f t="shared" si="487"/>
        <v>0.17524745982575021</v>
      </c>
      <c r="Q296" s="191">
        <f t="shared" si="488"/>
        <v>20</v>
      </c>
      <c r="R296" s="191"/>
      <c r="S296" s="152">
        <f t="shared" si="489"/>
        <v>67.692555286343193</v>
      </c>
      <c r="T296" s="152">
        <f t="shared" si="490"/>
        <v>20</v>
      </c>
      <c r="U296" s="191">
        <f t="shared" si="491"/>
        <v>0.34429029704620262</v>
      </c>
      <c r="V296" s="191">
        <f t="shared" si="492"/>
        <v>2.4592164074728755</v>
      </c>
      <c r="W296" s="191">
        <f t="shared" si="493"/>
        <v>2.5415130195339759</v>
      </c>
      <c r="X296" s="175">
        <f t="shared" si="494"/>
        <v>350</v>
      </c>
      <c r="Y296" s="386">
        <f t="shared" si="480"/>
        <v>199.97082717561514</v>
      </c>
      <c r="AA296" s="191">
        <f t="shared" si="495"/>
        <v>0.19670861568247827</v>
      </c>
      <c r="AB296" s="153">
        <f t="shared" si="496"/>
        <v>1.4520813165537272</v>
      </c>
      <c r="AC296" s="153">
        <f t="shared" si="497"/>
        <v>4.9986458486592979E-2</v>
      </c>
      <c r="AD296" s="153"/>
      <c r="AE296" s="153">
        <f t="shared" si="498"/>
        <v>1.1072834645669289</v>
      </c>
      <c r="AF296" s="317">
        <f t="shared" si="499"/>
        <v>963.31851851851877</v>
      </c>
      <c r="AG296" s="463">
        <f t="shared" si="500"/>
        <v>2.9066190944881887E-2</v>
      </c>
      <c r="AI296" s="153">
        <f t="shared" si="501"/>
        <v>0.24885260506496426</v>
      </c>
      <c r="AJ296" s="153">
        <f t="shared" si="502"/>
        <v>0.34429029704620262</v>
      </c>
      <c r="AK296" s="153">
        <f t="shared" si="503"/>
        <v>1.3295268646974683</v>
      </c>
      <c r="AM296" s="317">
        <f t="shared" si="504"/>
        <v>80.000000000000014</v>
      </c>
      <c r="AN296" s="147">
        <f t="shared" si="505"/>
        <v>199.97082717561514</v>
      </c>
      <c r="AP296">
        <f t="shared" si="506"/>
        <v>80.000000000000014</v>
      </c>
      <c r="AQ296">
        <f t="shared" si="507"/>
        <v>199.97082717561514</v>
      </c>
      <c r="AS296" s="5">
        <f t="shared" si="479"/>
        <v>5.0007294270068519</v>
      </c>
      <c r="AT296" s="5">
        <f t="shared" si="508"/>
        <v>2.4592164074728755</v>
      </c>
      <c r="AU296" s="5">
        <f t="shared" si="440"/>
        <v>2.5415130195339763</v>
      </c>
      <c r="AV296" s="5"/>
      <c r="AW296" s="153">
        <f t="shared" si="441"/>
        <v>0.49177153920619548</v>
      </c>
      <c r="AX296" s="153"/>
      <c r="BA296" s="147">
        <f t="shared" si="509"/>
        <v>5.8677073027355267</v>
      </c>
      <c r="BB296" s="147">
        <f t="shared" si="510"/>
        <v>10.578747210884357</v>
      </c>
      <c r="BC296" s="5">
        <f t="shared" si="442"/>
        <v>0.2151545413362097</v>
      </c>
      <c r="BD296" s="147">
        <f t="shared" si="511"/>
        <v>0</v>
      </c>
      <c r="BQ296" s="463">
        <f t="shared" si="512"/>
        <v>3.0560000000000007E-2</v>
      </c>
      <c r="CG296" s="59">
        <f t="shared" si="513"/>
        <v>-50</v>
      </c>
      <c r="CH296">
        <f t="shared" si="514"/>
        <v>-50</v>
      </c>
    </row>
    <row r="297" spans="5:86" x14ac:dyDescent="0.25">
      <c r="E297" s="150">
        <v>81</v>
      </c>
      <c r="F297" s="191">
        <f t="shared" si="515"/>
        <v>8.1000000000000016E-2</v>
      </c>
      <c r="G297" s="191"/>
      <c r="H297" s="191">
        <f t="shared" si="481"/>
        <v>1.6200000000000003</v>
      </c>
      <c r="I297" s="472">
        <f t="shared" si="482"/>
        <v>21</v>
      </c>
      <c r="J297" s="386">
        <f t="shared" si="483"/>
        <v>20.32</v>
      </c>
      <c r="K297" s="386">
        <f t="shared" si="484"/>
        <v>41.32</v>
      </c>
      <c r="L297" s="386"/>
      <c r="M297" s="191">
        <f t="shared" si="485"/>
        <v>0.49177153920619554</v>
      </c>
      <c r="N297" s="152">
        <f t="shared" si="486"/>
        <v>3.5049491965150041</v>
      </c>
      <c r="O297" s="152">
        <f t="shared" si="478"/>
        <v>1.6200000000000003</v>
      </c>
      <c r="P297" s="191">
        <f t="shared" si="487"/>
        <v>0.17524745982575021</v>
      </c>
      <c r="Q297" s="191">
        <f t="shared" si="488"/>
        <v>20</v>
      </c>
      <c r="R297" s="191"/>
      <c r="S297" s="152">
        <f t="shared" si="489"/>
        <v>66.600417783131249</v>
      </c>
      <c r="T297" s="152">
        <f t="shared" si="490"/>
        <v>20</v>
      </c>
      <c r="U297" s="191">
        <f t="shared" si="491"/>
        <v>0.34859392575928017</v>
      </c>
      <c r="V297" s="191">
        <f t="shared" si="492"/>
        <v>2.4899566125662869</v>
      </c>
      <c r="W297" s="191">
        <f t="shared" si="493"/>
        <v>2.5732819322781504</v>
      </c>
      <c r="X297" s="175">
        <f t="shared" si="494"/>
        <v>350</v>
      </c>
      <c r="Y297" s="386">
        <f t="shared" si="480"/>
        <v>197.50205153147175</v>
      </c>
      <c r="AA297" s="191">
        <f t="shared" si="495"/>
        <v>0.19670861568247827</v>
      </c>
      <c r="AB297" s="153">
        <f t="shared" si="496"/>
        <v>1.4520813165537272</v>
      </c>
      <c r="AC297" s="153">
        <f t="shared" si="497"/>
        <v>4.9986458486592979E-2</v>
      </c>
      <c r="AD297" s="153"/>
      <c r="AE297" s="153">
        <f t="shared" si="498"/>
        <v>1.1072834645669289</v>
      </c>
      <c r="AF297" s="317">
        <f t="shared" si="499"/>
        <v>975.36000000000024</v>
      </c>
      <c r="AG297" s="463">
        <f t="shared" si="500"/>
        <v>2.9066190944881887E-2</v>
      </c>
      <c r="AI297" s="153">
        <f t="shared" si="501"/>
        <v>0.25040310358642581</v>
      </c>
      <c r="AJ297" s="153">
        <f t="shared" si="502"/>
        <v>0.34859392575928017</v>
      </c>
      <c r="AK297" s="153">
        <f t="shared" si="503"/>
        <v>1.3323959505061866</v>
      </c>
      <c r="AM297" s="317">
        <f t="shared" si="504"/>
        <v>81.000000000000014</v>
      </c>
      <c r="AN297" s="147">
        <f t="shared" si="505"/>
        <v>197.50205153147175</v>
      </c>
      <c r="AP297">
        <f t="shared" si="506"/>
        <v>81.000000000000014</v>
      </c>
      <c r="AQ297">
        <f t="shared" si="507"/>
        <v>197.50205153147175</v>
      </c>
      <c r="AS297" s="5">
        <f t="shared" si="479"/>
        <v>5.0632385448444372</v>
      </c>
      <c r="AT297" s="5">
        <f t="shared" si="508"/>
        <v>2.4899566125662869</v>
      </c>
      <c r="AU297" s="5">
        <f t="shared" si="440"/>
        <v>2.5732819322781504</v>
      </c>
      <c r="AV297" s="5"/>
      <c r="AW297" s="153">
        <f t="shared" si="441"/>
        <v>0.4917715392061956</v>
      </c>
      <c r="AX297" s="153"/>
      <c r="BA297" s="147">
        <f t="shared" si="509"/>
        <v>5.8677073027355267</v>
      </c>
      <c r="BB297" s="147">
        <f t="shared" si="510"/>
        <v>10.841831320408167</v>
      </c>
      <c r="BC297" s="5">
        <f t="shared" si="442"/>
        <v>0.22056702276669865</v>
      </c>
      <c r="BD297" s="147">
        <f t="shared" si="511"/>
        <v>0</v>
      </c>
      <c r="BQ297" s="463">
        <f t="shared" si="512"/>
        <v>3.0942000000000004E-2</v>
      </c>
      <c r="CG297" s="59">
        <f t="shared" si="513"/>
        <v>-50</v>
      </c>
      <c r="CH297">
        <f t="shared" si="514"/>
        <v>-50</v>
      </c>
    </row>
    <row r="298" spans="5:86" x14ac:dyDescent="0.25">
      <c r="E298" s="150">
        <v>82</v>
      </c>
      <c r="F298" s="191">
        <f t="shared" si="515"/>
        <v>8.2000000000000003E-2</v>
      </c>
      <c r="G298" s="191"/>
      <c r="H298" s="191">
        <f t="shared" si="481"/>
        <v>1.6400000000000001</v>
      </c>
      <c r="I298" s="472">
        <f t="shared" si="482"/>
        <v>21</v>
      </c>
      <c r="J298" s="386">
        <f t="shared" si="483"/>
        <v>20.32</v>
      </c>
      <c r="K298" s="386">
        <f t="shared" si="484"/>
        <v>41.32</v>
      </c>
      <c r="L298" s="386"/>
      <c r="M298" s="191">
        <f t="shared" si="485"/>
        <v>0.49177153920619554</v>
      </c>
      <c r="N298" s="152">
        <f t="shared" si="486"/>
        <v>3.5049491965150041</v>
      </c>
      <c r="O298" s="152">
        <f t="shared" si="478"/>
        <v>1.6400000000000001</v>
      </c>
      <c r="P298" s="191">
        <f t="shared" si="487"/>
        <v>0.17524745982575021</v>
      </c>
      <c r="Q298" s="191">
        <f t="shared" si="488"/>
        <v>20</v>
      </c>
      <c r="R298" s="191"/>
      <c r="S298" s="152">
        <f t="shared" si="489"/>
        <v>65.534969242730384</v>
      </c>
      <c r="T298" s="152">
        <f t="shared" si="490"/>
        <v>20</v>
      </c>
      <c r="U298" s="191">
        <f t="shared" si="491"/>
        <v>0.3528975544723576</v>
      </c>
      <c r="V298" s="191">
        <f t="shared" si="492"/>
        <v>2.5206968176596969</v>
      </c>
      <c r="W298" s="191">
        <f t="shared" si="493"/>
        <v>2.6050508450223244</v>
      </c>
      <c r="X298" s="175">
        <f t="shared" si="494"/>
        <v>350</v>
      </c>
      <c r="Y298" s="386">
        <f t="shared" si="480"/>
        <v>195.09348992742946</v>
      </c>
      <c r="AA298" s="191">
        <f t="shared" si="495"/>
        <v>0.19670861568247827</v>
      </c>
      <c r="AB298" s="153">
        <f t="shared" si="496"/>
        <v>1.4520813165537272</v>
      </c>
      <c r="AC298" s="153">
        <f t="shared" si="497"/>
        <v>4.9986458486592979E-2</v>
      </c>
      <c r="AD298" s="153"/>
      <c r="AE298" s="153">
        <f t="shared" si="498"/>
        <v>1.1072834645669289</v>
      </c>
      <c r="AF298" s="317">
        <f t="shared" si="499"/>
        <v>987.4014814814816</v>
      </c>
      <c r="AG298" s="463">
        <f t="shared" si="500"/>
        <v>2.9066190944881887E-2</v>
      </c>
      <c r="AI298" s="153">
        <f t="shared" si="501"/>
        <v>0.25194406030666716</v>
      </c>
      <c r="AJ298" s="153">
        <f t="shared" si="502"/>
        <v>0.3528975544723576</v>
      </c>
      <c r="AK298" s="153">
        <f t="shared" si="503"/>
        <v>1.335265036314905</v>
      </c>
      <c r="AM298" s="317">
        <f t="shared" si="504"/>
        <v>82</v>
      </c>
      <c r="AN298" s="147">
        <f t="shared" si="505"/>
        <v>195.09348992742946</v>
      </c>
      <c r="AP298">
        <f t="shared" si="506"/>
        <v>82</v>
      </c>
      <c r="AQ298">
        <f t="shared" si="507"/>
        <v>195.09348992742946</v>
      </c>
      <c r="AS298" s="5">
        <f t="shared" si="479"/>
        <v>5.1257476626820209</v>
      </c>
      <c r="AT298" s="5">
        <f t="shared" si="508"/>
        <v>2.5206968176596969</v>
      </c>
      <c r="AU298" s="5">
        <f t="shared" ref="AU298:AU316" si="516">AS298-AT298</f>
        <v>2.605050845022324</v>
      </c>
      <c r="AV298" s="5"/>
      <c r="AW298" s="153">
        <f t="shared" ref="AW298:AW316" si="517">AT298/AS298</f>
        <v>0.4917715392061956</v>
      </c>
      <c r="AX298" s="153"/>
      <c r="BA298" s="147">
        <f t="shared" si="509"/>
        <v>5.8677073027355267</v>
      </c>
      <c r="BB298" s="147">
        <f t="shared" si="510"/>
        <v>11.108146288435375</v>
      </c>
      <c r="BC298" s="5">
        <f t="shared" si="442"/>
        <v>0.22604673999135511</v>
      </c>
      <c r="BD298" s="147">
        <f t="shared" si="511"/>
        <v>0</v>
      </c>
      <c r="BQ298" s="463">
        <f t="shared" si="512"/>
        <v>3.1324000000000005E-2</v>
      </c>
      <c r="CG298" s="59">
        <f t="shared" si="513"/>
        <v>-50</v>
      </c>
      <c r="CH298">
        <f t="shared" si="514"/>
        <v>-50</v>
      </c>
    </row>
    <row r="299" spans="5:86" x14ac:dyDescent="0.25">
      <c r="E299" s="150">
        <v>83</v>
      </c>
      <c r="F299" s="191">
        <f t="shared" si="515"/>
        <v>8.3000000000000004E-2</v>
      </c>
      <c r="G299" s="191"/>
      <c r="H299" s="191">
        <f t="shared" si="481"/>
        <v>1.6600000000000001</v>
      </c>
      <c r="I299" s="472">
        <f t="shared" si="482"/>
        <v>21</v>
      </c>
      <c r="J299" s="386">
        <f t="shared" si="483"/>
        <v>20.32</v>
      </c>
      <c r="K299" s="386">
        <f t="shared" si="484"/>
        <v>41.32</v>
      </c>
      <c r="L299" s="386"/>
      <c r="M299" s="191">
        <f t="shared" si="485"/>
        <v>0.49177153920619554</v>
      </c>
      <c r="N299" s="152">
        <f t="shared" si="486"/>
        <v>3.5049491965150041</v>
      </c>
      <c r="O299" s="152">
        <f t="shared" si="478"/>
        <v>1.6600000000000001</v>
      </c>
      <c r="P299" s="191">
        <f t="shared" si="487"/>
        <v>0.17524745982575021</v>
      </c>
      <c r="Q299" s="191">
        <f t="shared" si="488"/>
        <v>20</v>
      </c>
      <c r="R299" s="191"/>
      <c r="S299" s="152">
        <f t="shared" si="489"/>
        <v>64.495245576004464</v>
      </c>
      <c r="T299" s="152">
        <f t="shared" si="490"/>
        <v>20</v>
      </c>
      <c r="U299" s="191">
        <f t="shared" si="491"/>
        <v>0.35720118318543514</v>
      </c>
      <c r="V299" s="191">
        <f t="shared" si="492"/>
        <v>2.5514370227531082</v>
      </c>
      <c r="W299" s="191">
        <f t="shared" si="493"/>
        <v>2.6368197577664994</v>
      </c>
      <c r="X299" s="175">
        <f t="shared" si="494"/>
        <v>350</v>
      </c>
      <c r="Y299" s="386">
        <f t="shared" si="480"/>
        <v>192.74296595240017</v>
      </c>
      <c r="AA299" s="191">
        <f t="shared" si="495"/>
        <v>0.19670861568247827</v>
      </c>
      <c r="AB299" s="153">
        <f t="shared" si="496"/>
        <v>1.4520813165537272</v>
      </c>
      <c r="AC299" s="153">
        <f t="shared" si="497"/>
        <v>4.9986458486592979E-2</v>
      </c>
      <c r="AD299" s="153"/>
      <c r="AE299" s="153">
        <f t="shared" si="498"/>
        <v>1.1072834645669289</v>
      </c>
      <c r="AF299" s="317">
        <f t="shared" si="499"/>
        <v>999.44296296296307</v>
      </c>
      <c r="AG299" s="463">
        <f t="shared" si="500"/>
        <v>2.9066190944881887E-2</v>
      </c>
      <c r="AI299" s="153">
        <f t="shared" si="501"/>
        <v>0.25347564924841354</v>
      </c>
      <c r="AJ299" s="153">
        <f t="shared" si="502"/>
        <v>0.35720118318543514</v>
      </c>
      <c r="AK299" s="153">
        <f t="shared" si="503"/>
        <v>1.3381341221236234</v>
      </c>
      <c r="AM299" s="317">
        <f t="shared" si="504"/>
        <v>83</v>
      </c>
      <c r="AN299" s="147">
        <f t="shared" si="505"/>
        <v>192.74296595240017</v>
      </c>
      <c r="AP299">
        <f t="shared" si="506"/>
        <v>83</v>
      </c>
      <c r="AQ299">
        <f t="shared" si="507"/>
        <v>192.74296595240017</v>
      </c>
      <c r="AS299" s="5">
        <f t="shared" si="479"/>
        <v>5.188256780519608</v>
      </c>
      <c r="AT299" s="5">
        <f t="shared" si="508"/>
        <v>2.5514370227531082</v>
      </c>
      <c r="AU299" s="5">
        <f t="shared" si="516"/>
        <v>2.6368197577664998</v>
      </c>
      <c r="AV299" s="5"/>
      <c r="AW299" s="153">
        <f t="shared" si="517"/>
        <v>0.49177153920619554</v>
      </c>
      <c r="AX299" s="153"/>
      <c r="BA299" s="147">
        <f t="shared" si="509"/>
        <v>5.8677073027355267</v>
      </c>
      <c r="BB299" s="147">
        <f t="shared" si="510"/>
        <v>11.377692114965987</v>
      </c>
      <c r="BC299" s="5">
        <f t="shared" si="442"/>
        <v>0.23159369301017937</v>
      </c>
      <c r="BD299" s="147">
        <f t="shared" si="511"/>
        <v>0</v>
      </c>
      <c r="BQ299" s="463">
        <f t="shared" si="512"/>
        <v>3.1705999999999998E-2</v>
      </c>
      <c r="CG299" s="59">
        <f t="shared" si="513"/>
        <v>-50</v>
      </c>
      <c r="CH299">
        <f t="shared" si="514"/>
        <v>-50</v>
      </c>
    </row>
    <row r="300" spans="5:86" x14ac:dyDescent="0.25">
      <c r="E300" s="150">
        <v>84</v>
      </c>
      <c r="F300" s="191">
        <f t="shared" si="515"/>
        <v>8.4000000000000005E-2</v>
      </c>
      <c r="G300" s="191"/>
      <c r="H300" s="191">
        <f t="shared" si="481"/>
        <v>1.6800000000000002</v>
      </c>
      <c r="I300" s="472">
        <f t="shared" si="482"/>
        <v>21</v>
      </c>
      <c r="J300" s="386">
        <f t="shared" si="483"/>
        <v>20.32</v>
      </c>
      <c r="K300" s="386">
        <f t="shared" si="484"/>
        <v>41.32</v>
      </c>
      <c r="L300" s="386"/>
      <c r="M300" s="191">
        <f t="shared" si="485"/>
        <v>0.49177153920619554</v>
      </c>
      <c r="N300" s="152">
        <f t="shared" si="486"/>
        <v>3.5049491965150041</v>
      </c>
      <c r="O300" s="152">
        <f t="shared" si="478"/>
        <v>1.6800000000000002</v>
      </c>
      <c r="P300" s="191">
        <f t="shared" si="487"/>
        <v>0.17524745982575021</v>
      </c>
      <c r="Q300" s="191">
        <f t="shared" si="488"/>
        <v>20</v>
      </c>
      <c r="R300" s="191"/>
      <c r="S300" s="152">
        <f t="shared" si="489"/>
        <v>63.480328611094819</v>
      </c>
      <c r="T300" s="152">
        <f t="shared" si="490"/>
        <v>20</v>
      </c>
      <c r="U300" s="191">
        <f t="shared" si="491"/>
        <v>0.36150481189851269</v>
      </c>
      <c r="V300" s="191">
        <f t="shared" si="492"/>
        <v>2.5821772278465192</v>
      </c>
      <c r="W300" s="191">
        <f t="shared" si="493"/>
        <v>2.6685886705106743</v>
      </c>
      <c r="X300" s="175">
        <f t="shared" si="494"/>
        <v>350</v>
      </c>
      <c r="Y300" s="386">
        <f t="shared" si="480"/>
        <v>190.44840683391919</v>
      </c>
      <c r="AA300" s="191">
        <f t="shared" si="495"/>
        <v>0.19670861568247827</v>
      </c>
      <c r="AB300" s="153">
        <f t="shared" si="496"/>
        <v>1.4520813165537272</v>
      </c>
      <c r="AC300" s="153">
        <f t="shared" si="497"/>
        <v>4.9986458486592979E-2</v>
      </c>
      <c r="AD300" s="153"/>
      <c r="AE300" s="153">
        <f t="shared" si="498"/>
        <v>1.1072834645669289</v>
      </c>
      <c r="AF300" s="317">
        <f t="shared" si="499"/>
        <v>1011.4844444444446</v>
      </c>
      <c r="AG300" s="463">
        <f t="shared" si="500"/>
        <v>2.9066190944881887E-2</v>
      </c>
      <c r="AI300" s="153">
        <f t="shared" si="501"/>
        <v>0.25499803920814768</v>
      </c>
      <c r="AJ300" s="153">
        <f t="shared" si="502"/>
        <v>0.36150481189851269</v>
      </c>
      <c r="AK300" s="153">
        <f t="shared" si="503"/>
        <v>1.3410032079323417</v>
      </c>
      <c r="AM300" s="317">
        <f t="shared" si="504"/>
        <v>84</v>
      </c>
      <c r="AN300" s="147">
        <f t="shared" si="505"/>
        <v>190.44840683391919</v>
      </c>
      <c r="AP300">
        <f t="shared" si="506"/>
        <v>84</v>
      </c>
      <c r="AQ300">
        <f t="shared" si="507"/>
        <v>190.44840683391919</v>
      </c>
      <c r="AS300" s="5">
        <f t="shared" si="479"/>
        <v>5.2507658983571934</v>
      </c>
      <c r="AT300" s="5">
        <f t="shared" si="508"/>
        <v>2.5821772278465192</v>
      </c>
      <c r="AU300" s="5">
        <f t="shared" si="516"/>
        <v>2.6685886705106743</v>
      </c>
      <c r="AV300" s="5"/>
      <c r="AW300" s="153">
        <f t="shared" si="517"/>
        <v>0.49177153920619554</v>
      </c>
      <c r="AX300" s="153"/>
      <c r="BA300" s="147">
        <f t="shared" si="509"/>
        <v>5.8677073027355267</v>
      </c>
      <c r="BB300" s="147">
        <f t="shared" si="510"/>
        <v>11.650468800000002</v>
      </c>
      <c r="BC300" s="5">
        <f t="shared" si="442"/>
        <v>0.23720788182317107</v>
      </c>
      <c r="BD300" s="147">
        <f t="shared" si="511"/>
        <v>0</v>
      </c>
      <c r="BQ300" s="463">
        <f t="shared" si="512"/>
        <v>3.2088000000000005E-2</v>
      </c>
      <c r="CG300" s="59">
        <f t="shared" si="513"/>
        <v>-50</v>
      </c>
      <c r="CH300">
        <f t="shared" si="514"/>
        <v>-50</v>
      </c>
    </row>
    <row r="301" spans="5:86" x14ac:dyDescent="0.25">
      <c r="E301" s="150">
        <v>85</v>
      </c>
      <c r="F301" s="191">
        <f t="shared" si="515"/>
        <v>8.5000000000000006E-2</v>
      </c>
      <c r="G301" s="191"/>
      <c r="H301" s="191">
        <f t="shared" si="481"/>
        <v>1.7000000000000002</v>
      </c>
      <c r="I301" s="472">
        <f t="shared" si="482"/>
        <v>21</v>
      </c>
      <c r="J301" s="386">
        <f t="shared" si="483"/>
        <v>20.32</v>
      </c>
      <c r="K301" s="386">
        <f t="shared" si="484"/>
        <v>41.32</v>
      </c>
      <c r="L301" s="386"/>
      <c r="M301" s="191">
        <f t="shared" si="485"/>
        <v>0.49177153920619554</v>
      </c>
      <c r="N301" s="152">
        <f t="shared" si="486"/>
        <v>3.5049491965150041</v>
      </c>
      <c r="O301" s="152">
        <f t="shared" si="478"/>
        <v>1.7000000000000002</v>
      </c>
      <c r="P301" s="191">
        <f t="shared" si="487"/>
        <v>0.17524745982575021</v>
      </c>
      <c r="Q301" s="191">
        <f t="shared" si="488"/>
        <v>20</v>
      </c>
      <c r="R301" s="191"/>
      <c r="S301" s="152">
        <f t="shared" si="489"/>
        <v>62.489343392549301</v>
      </c>
      <c r="T301" s="152">
        <f t="shared" si="490"/>
        <v>20</v>
      </c>
      <c r="U301" s="191">
        <f t="shared" si="491"/>
        <v>0.36580844061159024</v>
      </c>
      <c r="V301" s="191">
        <f t="shared" si="492"/>
        <v>2.6129174329399301</v>
      </c>
      <c r="W301" s="191">
        <f t="shared" si="493"/>
        <v>2.7003575832548488</v>
      </c>
      <c r="X301" s="175">
        <f t="shared" si="494"/>
        <v>350</v>
      </c>
      <c r="Y301" s="386">
        <f t="shared" si="480"/>
        <v>188.20783734175544</v>
      </c>
      <c r="AA301" s="191">
        <f t="shared" si="495"/>
        <v>0.19670861568247827</v>
      </c>
      <c r="AB301" s="153">
        <f t="shared" si="496"/>
        <v>1.4520813165537272</v>
      </c>
      <c r="AC301" s="153">
        <f t="shared" si="497"/>
        <v>4.9986458486592979E-2</v>
      </c>
      <c r="AD301" s="153"/>
      <c r="AE301" s="153">
        <f t="shared" si="498"/>
        <v>1.1072834645669289</v>
      </c>
      <c r="AF301" s="317">
        <f t="shared" si="499"/>
        <v>1023.5259259259261</v>
      </c>
      <c r="AG301" s="463">
        <f t="shared" si="500"/>
        <v>2.9066190944881887E-2</v>
      </c>
      <c r="AI301" s="153">
        <f t="shared" si="501"/>
        <v>0.25651139397324096</v>
      </c>
      <c r="AJ301" s="153">
        <f t="shared" si="502"/>
        <v>0.36580844061159024</v>
      </c>
      <c r="AK301" s="153">
        <f t="shared" si="503"/>
        <v>1.3438722937410601</v>
      </c>
      <c r="AM301" s="317">
        <f t="shared" si="504"/>
        <v>85</v>
      </c>
      <c r="AN301" s="147">
        <f t="shared" si="505"/>
        <v>188.20783734175544</v>
      </c>
      <c r="AP301">
        <f t="shared" si="506"/>
        <v>85</v>
      </c>
      <c r="AQ301">
        <f t="shared" si="507"/>
        <v>188.20783734175544</v>
      </c>
      <c r="AS301" s="5">
        <f t="shared" si="479"/>
        <v>5.3132750161947788</v>
      </c>
      <c r="AT301" s="5">
        <f t="shared" si="508"/>
        <v>2.6129174329399301</v>
      </c>
      <c r="AU301" s="5">
        <f t="shared" si="516"/>
        <v>2.7003575832548488</v>
      </c>
      <c r="AV301" s="5"/>
      <c r="AW301" s="153">
        <f t="shared" si="517"/>
        <v>0.49177153920619554</v>
      </c>
      <c r="AX301" s="153"/>
      <c r="BA301" s="147">
        <f t="shared" si="509"/>
        <v>5.8677073027355267</v>
      </c>
      <c r="BB301" s="147">
        <f t="shared" si="510"/>
        <v>11.926476343537418</v>
      </c>
      <c r="BC301" s="5">
        <f t="shared" si="442"/>
        <v>0.24288930643033033</v>
      </c>
      <c r="BD301" s="147">
        <f t="shared" si="511"/>
        <v>0</v>
      </c>
      <c r="BQ301" s="463">
        <f t="shared" si="512"/>
        <v>3.2469999999999999E-2</v>
      </c>
      <c r="CG301" s="59">
        <f t="shared" si="513"/>
        <v>-50</v>
      </c>
      <c r="CH301">
        <f t="shared" si="514"/>
        <v>-50</v>
      </c>
    </row>
    <row r="302" spans="5:86" x14ac:dyDescent="0.25">
      <c r="E302" s="150">
        <v>86</v>
      </c>
      <c r="F302" s="191">
        <f t="shared" si="515"/>
        <v>8.6000000000000007E-2</v>
      </c>
      <c r="G302" s="191"/>
      <c r="H302" s="191">
        <f t="shared" si="481"/>
        <v>1.7200000000000002</v>
      </c>
      <c r="I302" s="472">
        <f t="shared" si="482"/>
        <v>21</v>
      </c>
      <c r="J302" s="386">
        <f t="shared" si="483"/>
        <v>20.32</v>
      </c>
      <c r="K302" s="386">
        <f t="shared" si="484"/>
        <v>41.32</v>
      </c>
      <c r="L302" s="386"/>
      <c r="M302" s="191">
        <f t="shared" si="485"/>
        <v>0.49177153920619554</v>
      </c>
      <c r="N302" s="152">
        <f t="shared" si="486"/>
        <v>3.5049491965150041</v>
      </c>
      <c r="O302" s="152">
        <f t="shared" si="478"/>
        <v>1.7200000000000002</v>
      </c>
      <c r="P302" s="191">
        <f t="shared" si="487"/>
        <v>0.17524745982575021</v>
      </c>
      <c r="Q302" s="191">
        <f t="shared" si="488"/>
        <v>20</v>
      </c>
      <c r="R302" s="191"/>
      <c r="S302" s="152">
        <f t="shared" si="489"/>
        <v>61.521455668886937</v>
      </c>
      <c r="T302" s="152">
        <f t="shared" si="490"/>
        <v>20</v>
      </c>
      <c r="U302" s="191">
        <f t="shared" si="491"/>
        <v>0.37011206932466778</v>
      </c>
      <c r="V302" s="191">
        <f t="shared" si="492"/>
        <v>2.643657638033341</v>
      </c>
      <c r="W302" s="191">
        <f t="shared" si="493"/>
        <v>2.7321264959990232</v>
      </c>
      <c r="X302" s="175">
        <f t="shared" si="494"/>
        <v>350</v>
      </c>
      <c r="Y302" s="386">
        <f t="shared" si="480"/>
        <v>186.01937411685131</v>
      </c>
      <c r="AA302" s="191">
        <f t="shared" si="495"/>
        <v>0.19670861568247827</v>
      </c>
      <c r="AB302" s="153">
        <f t="shared" si="496"/>
        <v>1.4520813165537272</v>
      </c>
      <c r="AC302" s="153">
        <f t="shared" si="497"/>
        <v>4.9986458486592979E-2</v>
      </c>
      <c r="AD302" s="153"/>
      <c r="AE302" s="153">
        <f t="shared" si="498"/>
        <v>1.1072834645669289</v>
      </c>
      <c r="AF302" s="317">
        <f t="shared" si="499"/>
        <v>1035.5674074074075</v>
      </c>
      <c r="AG302" s="463">
        <f t="shared" si="500"/>
        <v>2.9066190944881887E-2</v>
      </c>
      <c r="AI302" s="153">
        <f t="shared" si="501"/>
        <v>0.25801587252762281</v>
      </c>
      <c r="AJ302" s="153">
        <f t="shared" si="502"/>
        <v>0.37011206932466778</v>
      </c>
      <c r="AK302" s="153">
        <f t="shared" si="503"/>
        <v>1.3467413795497785</v>
      </c>
      <c r="AM302" s="317">
        <f t="shared" si="504"/>
        <v>86</v>
      </c>
      <c r="AN302" s="147">
        <f t="shared" si="505"/>
        <v>186.01937411685131</v>
      </c>
      <c r="AP302">
        <f t="shared" si="506"/>
        <v>86</v>
      </c>
      <c r="AQ302">
        <f t="shared" si="507"/>
        <v>186.01937411685131</v>
      </c>
      <c r="AS302" s="5">
        <f t="shared" si="479"/>
        <v>5.3757841340323651</v>
      </c>
      <c r="AT302" s="5">
        <f t="shared" si="508"/>
        <v>2.643657638033341</v>
      </c>
      <c r="AU302" s="5">
        <f t="shared" si="516"/>
        <v>2.7321264959990241</v>
      </c>
      <c r="AV302" s="5"/>
      <c r="AW302" s="153">
        <f t="shared" si="517"/>
        <v>0.49177153920619548</v>
      </c>
      <c r="AX302" s="153"/>
      <c r="BA302" s="147">
        <f t="shared" si="509"/>
        <v>5.8677073027355267</v>
      </c>
      <c r="BB302" s="147">
        <f t="shared" si="510"/>
        <v>12.205714745578234</v>
      </c>
      <c r="BC302" s="5">
        <f t="shared" si="442"/>
        <v>0.24863796683165723</v>
      </c>
      <c r="BD302" s="147">
        <f t="shared" si="511"/>
        <v>0</v>
      </c>
      <c r="BQ302" s="463">
        <f t="shared" si="512"/>
        <v>3.2852000000000006E-2</v>
      </c>
      <c r="CG302" s="59">
        <f t="shared" si="513"/>
        <v>-50</v>
      </c>
      <c r="CH302">
        <f t="shared" si="514"/>
        <v>-50</v>
      </c>
    </row>
    <row r="303" spans="5:86" x14ac:dyDescent="0.25">
      <c r="E303" s="150">
        <v>87</v>
      </c>
      <c r="F303" s="191">
        <f t="shared" si="515"/>
        <v>8.7000000000000008E-2</v>
      </c>
      <c r="G303" s="191"/>
      <c r="H303" s="191">
        <f t="shared" si="481"/>
        <v>1.7400000000000002</v>
      </c>
      <c r="I303" s="472">
        <f t="shared" si="482"/>
        <v>21</v>
      </c>
      <c r="J303" s="386">
        <f t="shared" si="483"/>
        <v>20.32</v>
      </c>
      <c r="K303" s="386">
        <f t="shared" si="484"/>
        <v>41.32</v>
      </c>
      <c r="L303" s="386"/>
      <c r="M303" s="191">
        <f t="shared" si="485"/>
        <v>0.49177153920619554</v>
      </c>
      <c r="N303" s="152">
        <f t="shared" si="486"/>
        <v>3.5049491965150041</v>
      </c>
      <c r="O303" s="152">
        <f t="shared" si="478"/>
        <v>1.7400000000000002</v>
      </c>
      <c r="P303" s="191">
        <f t="shared" si="487"/>
        <v>0.17524745982575021</v>
      </c>
      <c r="Q303" s="191">
        <f t="shared" si="488"/>
        <v>20</v>
      </c>
      <c r="R303" s="191"/>
      <c r="S303" s="152">
        <f t="shared" si="489"/>
        <v>60.575869553437229</v>
      </c>
      <c r="T303" s="152">
        <f t="shared" si="490"/>
        <v>20</v>
      </c>
      <c r="U303" s="191">
        <f t="shared" si="491"/>
        <v>0.37441569803774533</v>
      </c>
      <c r="V303" s="191">
        <f t="shared" si="492"/>
        <v>2.6743978431267523</v>
      </c>
      <c r="W303" s="191">
        <f t="shared" si="493"/>
        <v>2.7638954087431986</v>
      </c>
      <c r="X303" s="175">
        <f t="shared" si="494"/>
        <v>350</v>
      </c>
      <c r="Y303" s="386">
        <f t="shared" si="480"/>
        <v>183.88122039137025</v>
      </c>
      <c r="AA303" s="191">
        <f t="shared" si="495"/>
        <v>0.19670861568247827</v>
      </c>
      <c r="AB303" s="153">
        <f t="shared" si="496"/>
        <v>1.4520813165537272</v>
      </c>
      <c r="AC303" s="153">
        <f t="shared" si="497"/>
        <v>4.9986458486592979E-2</v>
      </c>
      <c r="AD303" s="153"/>
      <c r="AE303" s="153">
        <f t="shared" si="498"/>
        <v>1.1072834645669289</v>
      </c>
      <c r="AF303" s="317">
        <f t="shared" si="499"/>
        <v>1047.6088888888892</v>
      </c>
      <c r="AG303" s="463">
        <f t="shared" si="500"/>
        <v>2.9066190944881887E-2</v>
      </c>
      <c r="AI303" s="153">
        <f t="shared" si="501"/>
        <v>0.25951162924671745</v>
      </c>
      <c r="AJ303" s="153">
        <f t="shared" si="502"/>
        <v>0.37441569803774533</v>
      </c>
      <c r="AK303" s="153">
        <f t="shared" si="503"/>
        <v>1.3496104653584968</v>
      </c>
      <c r="AM303" s="317">
        <f t="shared" si="504"/>
        <v>87.000000000000014</v>
      </c>
      <c r="AN303" s="147">
        <f t="shared" si="505"/>
        <v>183.88122039137025</v>
      </c>
      <c r="AP303">
        <f t="shared" si="506"/>
        <v>87.000000000000014</v>
      </c>
      <c r="AQ303">
        <f t="shared" si="507"/>
        <v>183.88122039137025</v>
      </c>
      <c r="AS303" s="5">
        <f t="shared" si="479"/>
        <v>5.4382932518699505</v>
      </c>
      <c r="AT303" s="5">
        <f t="shared" si="508"/>
        <v>2.6743978431267523</v>
      </c>
      <c r="AU303" s="5">
        <f t="shared" si="516"/>
        <v>2.7638954087431982</v>
      </c>
      <c r="AV303" s="5"/>
      <c r="AW303" s="153">
        <f t="shared" si="517"/>
        <v>0.4917715392061956</v>
      </c>
      <c r="AX303" s="153"/>
      <c r="BA303" s="147">
        <f t="shared" si="509"/>
        <v>5.8677073027355267</v>
      </c>
      <c r="BB303" s="147">
        <f t="shared" si="510"/>
        <v>12.48818400612245</v>
      </c>
      <c r="BC303" s="5">
        <f t="shared" si="442"/>
        <v>0.25445386302715162</v>
      </c>
      <c r="BD303" s="147">
        <f t="shared" si="511"/>
        <v>0</v>
      </c>
      <c r="BQ303" s="463">
        <f t="shared" si="512"/>
        <v>3.3234E-2</v>
      </c>
      <c r="CG303" s="59">
        <f t="shared" si="513"/>
        <v>-50</v>
      </c>
      <c r="CH303">
        <f t="shared" si="514"/>
        <v>-50</v>
      </c>
    </row>
    <row r="304" spans="5:86" x14ac:dyDescent="0.25">
      <c r="E304" s="150">
        <v>88</v>
      </c>
      <c r="F304" s="191">
        <f t="shared" si="515"/>
        <v>8.8000000000000009E-2</v>
      </c>
      <c r="G304" s="191"/>
      <c r="H304" s="191">
        <f t="shared" si="481"/>
        <v>1.7600000000000002</v>
      </c>
      <c r="I304" s="472">
        <f t="shared" si="482"/>
        <v>21</v>
      </c>
      <c r="J304" s="386">
        <f t="shared" si="483"/>
        <v>20.32</v>
      </c>
      <c r="K304" s="386">
        <f t="shared" si="484"/>
        <v>41.32</v>
      </c>
      <c r="L304" s="386"/>
      <c r="M304" s="191">
        <f t="shared" si="485"/>
        <v>0.49177153920619554</v>
      </c>
      <c r="N304" s="152">
        <f t="shared" si="486"/>
        <v>3.5049491965150041</v>
      </c>
      <c r="O304" s="152">
        <f t="shared" si="478"/>
        <v>1.7600000000000002</v>
      </c>
      <c r="P304" s="191">
        <f t="shared" si="487"/>
        <v>0.17524745982575021</v>
      </c>
      <c r="Q304" s="191">
        <f t="shared" si="488"/>
        <v>20</v>
      </c>
      <c r="R304" s="191"/>
      <c r="S304" s="152">
        <f t="shared" si="489"/>
        <v>59.651825344670627</v>
      </c>
      <c r="T304" s="152">
        <f t="shared" si="490"/>
        <v>20</v>
      </c>
      <c r="U304" s="191">
        <f t="shared" si="491"/>
        <v>0.37871932675082282</v>
      </c>
      <c r="V304" s="191">
        <f t="shared" si="492"/>
        <v>2.7051380482201632</v>
      </c>
      <c r="W304" s="191">
        <f t="shared" si="493"/>
        <v>2.7956643214873726</v>
      </c>
      <c r="X304" s="175">
        <f t="shared" si="494"/>
        <v>350</v>
      </c>
      <c r="Y304" s="386">
        <f t="shared" si="480"/>
        <v>181.79166106874106</v>
      </c>
      <c r="AA304" s="191">
        <f t="shared" si="495"/>
        <v>0.19670861568247827</v>
      </c>
      <c r="AB304" s="153">
        <f t="shared" si="496"/>
        <v>1.4520813165537272</v>
      </c>
      <c r="AC304" s="153">
        <f t="shared" si="497"/>
        <v>4.9986458486592979E-2</v>
      </c>
      <c r="AD304" s="153"/>
      <c r="AE304" s="153">
        <f t="shared" si="498"/>
        <v>1.1072834645669289</v>
      </c>
      <c r="AF304" s="317">
        <f t="shared" si="499"/>
        <v>1059.6503703703706</v>
      </c>
      <c r="AG304" s="463">
        <f t="shared" si="500"/>
        <v>2.9066190944881887E-2</v>
      </c>
      <c r="AI304" s="153">
        <f t="shared" si="501"/>
        <v>0.26099881408232678</v>
      </c>
      <c r="AJ304" s="153">
        <f t="shared" si="502"/>
        <v>0.37871932675082282</v>
      </c>
      <c r="AK304" s="153">
        <f t="shared" si="503"/>
        <v>1.3524795511672152</v>
      </c>
      <c r="AM304" s="317">
        <f t="shared" si="504"/>
        <v>88.000000000000014</v>
      </c>
      <c r="AN304" s="147">
        <f t="shared" si="505"/>
        <v>181.79166106874106</v>
      </c>
      <c r="AP304">
        <f t="shared" si="506"/>
        <v>88.000000000000014</v>
      </c>
      <c r="AQ304">
        <f t="shared" si="507"/>
        <v>181.79166106874106</v>
      </c>
      <c r="AS304" s="5">
        <f t="shared" si="479"/>
        <v>5.500802369707535</v>
      </c>
      <c r="AT304" s="5">
        <f t="shared" si="508"/>
        <v>2.7051380482201632</v>
      </c>
      <c r="AU304" s="5">
        <f t="shared" si="516"/>
        <v>2.7956643214873718</v>
      </c>
      <c r="AV304" s="5"/>
      <c r="AW304" s="153">
        <f t="shared" si="517"/>
        <v>0.49177153920619571</v>
      </c>
      <c r="AX304" s="153"/>
      <c r="BA304" s="147">
        <f t="shared" si="509"/>
        <v>5.8677073027355267</v>
      </c>
      <c r="BB304" s="147">
        <f t="shared" si="510"/>
        <v>12.773884125170071</v>
      </c>
      <c r="BC304" s="5">
        <f t="shared" si="442"/>
        <v>0.26033699501681351</v>
      </c>
      <c r="BD304" s="147">
        <f t="shared" si="511"/>
        <v>0</v>
      </c>
      <c r="BQ304" s="463">
        <f t="shared" si="512"/>
        <v>3.3616E-2</v>
      </c>
      <c r="CG304" s="59">
        <f t="shared" si="513"/>
        <v>-50</v>
      </c>
      <c r="CH304">
        <f t="shared" si="514"/>
        <v>-50</v>
      </c>
    </row>
    <row r="305" spans="4:86" x14ac:dyDescent="0.25">
      <c r="E305" s="150">
        <v>89</v>
      </c>
      <c r="F305" s="191">
        <f t="shared" si="515"/>
        <v>8.900000000000001E-2</v>
      </c>
      <c r="G305" s="191"/>
      <c r="H305" s="191">
        <f t="shared" si="481"/>
        <v>1.7800000000000002</v>
      </c>
      <c r="I305" s="472">
        <f t="shared" si="482"/>
        <v>21</v>
      </c>
      <c r="J305" s="386">
        <f t="shared" si="483"/>
        <v>20.32</v>
      </c>
      <c r="K305" s="386">
        <f t="shared" si="484"/>
        <v>41.32</v>
      </c>
      <c r="L305" s="386"/>
      <c r="M305" s="191">
        <f t="shared" si="485"/>
        <v>0.49177153920619554</v>
      </c>
      <c r="N305" s="152">
        <f t="shared" si="486"/>
        <v>3.5049491965150041</v>
      </c>
      <c r="O305" s="152">
        <f t="shared" si="478"/>
        <v>1.7800000000000002</v>
      </c>
      <c r="P305" s="191">
        <f t="shared" si="487"/>
        <v>0.17524745982575021</v>
      </c>
      <c r="Q305" s="191">
        <f t="shared" si="488"/>
        <v>20</v>
      </c>
      <c r="R305" s="191"/>
      <c r="S305" s="152">
        <f t="shared" si="489"/>
        <v>58.748597493475962</v>
      </c>
      <c r="T305" s="152">
        <f t="shared" si="490"/>
        <v>20</v>
      </c>
      <c r="U305" s="191">
        <f t="shared" si="491"/>
        <v>0.38302295546390036</v>
      </c>
      <c r="V305" s="191">
        <f t="shared" si="492"/>
        <v>2.7358782533135737</v>
      </c>
      <c r="W305" s="191">
        <f t="shared" si="493"/>
        <v>2.8274332342315476</v>
      </c>
      <c r="X305" s="175">
        <f t="shared" si="494"/>
        <v>350</v>
      </c>
      <c r="Y305" s="386">
        <f t="shared" si="480"/>
        <v>179.74905813538442</v>
      </c>
      <c r="AA305" s="191">
        <f t="shared" si="495"/>
        <v>0.19670861568247827</v>
      </c>
      <c r="AB305" s="153">
        <f t="shared" si="496"/>
        <v>1.4520813165537272</v>
      </c>
      <c r="AC305" s="153">
        <f t="shared" si="497"/>
        <v>4.9986458486592979E-2</v>
      </c>
      <c r="AD305" s="153"/>
      <c r="AE305" s="153">
        <f t="shared" si="498"/>
        <v>1.1072834645669289</v>
      </c>
      <c r="AF305" s="317">
        <f t="shared" si="499"/>
        <v>1071.6918518518521</v>
      </c>
      <c r="AG305" s="463">
        <f t="shared" si="500"/>
        <v>2.9066190944881887E-2</v>
      </c>
      <c r="AI305" s="153">
        <f t="shared" si="501"/>
        <v>0.26247757273808409</v>
      </c>
      <c r="AJ305" s="153">
        <f t="shared" si="502"/>
        <v>0.38302295546390036</v>
      </c>
      <c r="AK305" s="153">
        <f t="shared" si="503"/>
        <v>1.3553486369759336</v>
      </c>
      <c r="AM305" s="317">
        <f t="shared" si="504"/>
        <v>89.000000000000014</v>
      </c>
      <c r="AN305" s="147">
        <f t="shared" si="505"/>
        <v>179.74905813538442</v>
      </c>
      <c r="AP305">
        <f t="shared" si="506"/>
        <v>89.000000000000014</v>
      </c>
      <c r="AQ305">
        <f t="shared" si="507"/>
        <v>179.74905813538442</v>
      </c>
      <c r="AS305" s="5">
        <f t="shared" si="479"/>
        <v>5.5633114875451213</v>
      </c>
      <c r="AT305" s="5">
        <f t="shared" si="508"/>
        <v>2.7358782533135737</v>
      </c>
      <c r="AU305" s="5">
        <f t="shared" si="516"/>
        <v>2.8274332342315476</v>
      </c>
      <c r="AV305" s="5"/>
      <c r="AW305" s="153">
        <f t="shared" si="517"/>
        <v>0.49177153920619554</v>
      </c>
      <c r="AX305" s="153"/>
      <c r="BA305" s="147">
        <f t="shared" si="509"/>
        <v>5.8677073027355267</v>
      </c>
      <c r="BB305" s="147">
        <f t="shared" si="510"/>
        <v>13.062815102721087</v>
      </c>
      <c r="BC305" s="5">
        <f t="shared" si="442"/>
        <v>0.26628736280064313</v>
      </c>
      <c r="BD305" s="147">
        <f t="shared" si="511"/>
        <v>0</v>
      </c>
      <c r="BQ305" s="463">
        <f t="shared" si="512"/>
        <v>3.3998000000000007E-2</v>
      </c>
      <c r="CG305" s="59">
        <f t="shared" si="513"/>
        <v>-50</v>
      </c>
      <c r="CH305">
        <f t="shared" si="514"/>
        <v>-50</v>
      </c>
    </row>
    <row r="306" spans="4:86" x14ac:dyDescent="0.25">
      <c r="E306" s="150">
        <v>90</v>
      </c>
      <c r="F306" s="191">
        <f t="shared" si="515"/>
        <v>9.0000000000000011E-2</v>
      </c>
      <c r="G306" s="191"/>
      <c r="H306" s="191">
        <f t="shared" si="481"/>
        <v>1.8000000000000003</v>
      </c>
      <c r="I306" s="472">
        <f t="shared" si="482"/>
        <v>21</v>
      </c>
      <c r="J306" s="386">
        <f t="shared" si="483"/>
        <v>20.32</v>
      </c>
      <c r="K306" s="386">
        <f t="shared" si="484"/>
        <v>41.32</v>
      </c>
      <c r="L306" s="386"/>
      <c r="M306" s="191">
        <f t="shared" si="485"/>
        <v>0.49177153920619554</v>
      </c>
      <c r="N306" s="152">
        <f t="shared" si="486"/>
        <v>3.5049491965150041</v>
      </c>
      <c r="O306" s="152">
        <f t="shared" si="478"/>
        <v>1.8000000000000003</v>
      </c>
      <c r="P306" s="191">
        <f t="shared" si="487"/>
        <v>0.17524745982575021</v>
      </c>
      <c r="Q306" s="191">
        <f t="shared" si="488"/>
        <v>20</v>
      </c>
      <c r="R306" s="191"/>
      <c r="S306" s="152">
        <f t="shared" si="489"/>
        <v>57.865492705956107</v>
      </c>
      <c r="T306" s="152">
        <f t="shared" si="490"/>
        <v>20</v>
      </c>
      <c r="U306" s="191">
        <f t="shared" si="491"/>
        <v>0.38732658417697791</v>
      </c>
      <c r="V306" s="191">
        <f t="shared" si="492"/>
        <v>2.7666184584069846</v>
      </c>
      <c r="W306" s="191">
        <f t="shared" si="493"/>
        <v>2.8592021469757221</v>
      </c>
      <c r="X306" s="175">
        <f t="shared" si="494"/>
        <v>350</v>
      </c>
      <c r="Y306" s="386">
        <f t="shared" si="480"/>
        <v>177.75184637832461</v>
      </c>
      <c r="AA306" s="191">
        <f t="shared" si="495"/>
        <v>0.19670861568247827</v>
      </c>
      <c r="AB306" s="153">
        <f t="shared" si="496"/>
        <v>1.4520813165537272</v>
      </c>
      <c r="AC306" s="153">
        <f t="shared" si="497"/>
        <v>4.9986458486592979E-2</v>
      </c>
      <c r="AD306" s="153"/>
      <c r="AE306" s="153">
        <f t="shared" si="498"/>
        <v>1.1072834645669289</v>
      </c>
      <c r="AF306" s="317">
        <f t="shared" si="499"/>
        <v>1083.7333333333336</v>
      </c>
      <c r="AG306" s="463">
        <f t="shared" si="500"/>
        <v>2.9066190944881887E-2</v>
      </c>
      <c r="AI306" s="153">
        <f t="shared" si="501"/>
        <v>0.26394804683606099</v>
      </c>
      <c r="AJ306" s="153">
        <f t="shared" si="502"/>
        <v>0.38732658417697791</v>
      </c>
      <c r="AK306" s="153">
        <f t="shared" si="503"/>
        <v>1.3582177227846519</v>
      </c>
      <c r="AM306" s="317">
        <f t="shared" si="504"/>
        <v>90.000000000000014</v>
      </c>
      <c r="AN306" s="147">
        <f t="shared" si="505"/>
        <v>177.75184637832461</v>
      </c>
      <c r="AP306">
        <f t="shared" si="506"/>
        <v>90.000000000000014</v>
      </c>
      <c r="AQ306">
        <f t="shared" si="507"/>
        <v>177.75184637832461</v>
      </c>
      <c r="AS306" s="5">
        <f t="shared" si="479"/>
        <v>5.6258206053827058</v>
      </c>
      <c r="AT306" s="5">
        <f t="shared" si="508"/>
        <v>2.7666184584069846</v>
      </c>
      <c r="AU306" s="5">
        <f t="shared" si="516"/>
        <v>2.8592021469757212</v>
      </c>
      <c r="AV306" s="5"/>
      <c r="AW306" s="153">
        <f t="shared" si="517"/>
        <v>0.49177153920619565</v>
      </c>
      <c r="AX306" s="153"/>
      <c r="BA306" s="147">
        <f t="shared" si="509"/>
        <v>5.8677073027355267</v>
      </c>
      <c r="BB306" s="147">
        <f t="shared" si="510"/>
        <v>13.354976938775511</v>
      </c>
      <c r="BC306" s="5">
        <f t="shared" si="442"/>
        <v>0.27230496637864016</v>
      </c>
      <c r="BD306" s="147">
        <f t="shared" si="511"/>
        <v>0</v>
      </c>
      <c r="BQ306" s="463">
        <f t="shared" si="512"/>
        <v>3.4380000000000001E-2</v>
      </c>
      <c r="CG306" s="59">
        <f t="shared" si="513"/>
        <v>-50</v>
      </c>
      <c r="CH306">
        <f t="shared" si="514"/>
        <v>-50</v>
      </c>
    </row>
    <row r="307" spans="4:86" x14ac:dyDescent="0.25">
      <c r="E307" s="150">
        <v>91</v>
      </c>
      <c r="F307" s="191">
        <f t="shared" si="515"/>
        <v>9.1000000000000011E-2</v>
      </c>
      <c r="G307" s="191"/>
      <c r="H307" s="191">
        <f t="shared" si="481"/>
        <v>1.8200000000000003</v>
      </c>
      <c r="I307" s="472">
        <f t="shared" si="482"/>
        <v>21</v>
      </c>
      <c r="J307" s="386">
        <f t="shared" si="483"/>
        <v>20.32</v>
      </c>
      <c r="K307" s="386">
        <f t="shared" si="484"/>
        <v>41.32</v>
      </c>
      <c r="L307" s="386"/>
      <c r="M307" s="191">
        <f t="shared" si="485"/>
        <v>0.49177153920619554</v>
      </c>
      <c r="N307" s="152">
        <f t="shared" si="486"/>
        <v>3.5049491965150041</v>
      </c>
      <c r="O307" s="152">
        <f t="shared" si="478"/>
        <v>1.8200000000000003</v>
      </c>
      <c r="P307" s="191">
        <f t="shared" si="487"/>
        <v>0.17524745982575021</v>
      </c>
      <c r="Q307" s="191">
        <f t="shared" si="488"/>
        <v>20</v>
      </c>
      <c r="R307" s="191"/>
      <c r="S307" s="152">
        <f t="shared" si="489"/>
        <v>57.001848171316809</v>
      </c>
      <c r="T307" s="152">
        <f t="shared" si="490"/>
        <v>20</v>
      </c>
      <c r="U307" s="191">
        <f t="shared" si="491"/>
        <v>0.39163021289005545</v>
      </c>
      <c r="V307" s="191">
        <f t="shared" si="492"/>
        <v>2.797358663500396</v>
      </c>
      <c r="W307" s="191">
        <f t="shared" si="493"/>
        <v>2.890971059719897</v>
      </c>
      <c r="X307" s="175">
        <f t="shared" si="494"/>
        <v>350</v>
      </c>
      <c r="Y307" s="386">
        <f t="shared" si="480"/>
        <v>175.7985293851562</v>
      </c>
      <c r="AA307" s="191">
        <f t="shared" si="495"/>
        <v>0.19670861568247827</v>
      </c>
      <c r="AB307" s="153">
        <f t="shared" si="496"/>
        <v>1.4520813165537272</v>
      </c>
      <c r="AC307" s="153">
        <f t="shared" si="497"/>
        <v>4.9986458486592979E-2</v>
      </c>
      <c r="AD307" s="153"/>
      <c r="AE307" s="153">
        <f t="shared" si="498"/>
        <v>1.1072834645669289</v>
      </c>
      <c r="AF307" s="317">
        <f t="shared" si="499"/>
        <v>1095.774814814815</v>
      </c>
      <c r="AG307" s="463">
        <f t="shared" si="500"/>
        <v>2.9066190944881887E-2</v>
      </c>
      <c r="AI307" s="153">
        <f t="shared" si="501"/>
        <v>0.2654103740750664</v>
      </c>
      <c r="AJ307" s="153">
        <f t="shared" si="502"/>
        <v>0.39163021289005545</v>
      </c>
      <c r="AK307" s="153">
        <f t="shared" si="503"/>
        <v>1.3610868085933703</v>
      </c>
      <c r="AM307" s="317">
        <f t="shared" si="504"/>
        <v>91.000000000000014</v>
      </c>
      <c r="AN307" s="147">
        <f t="shared" si="505"/>
        <v>175.7985293851562</v>
      </c>
      <c r="AP307">
        <f t="shared" si="506"/>
        <v>91.000000000000014</v>
      </c>
      <c r="AQ307">
        <f t="shared" si="507"/>
        <v>175.7985293851562</v>
      </c>
      <c r="AS307" s="5">
        <f t="shared" si="479"/>
        <v>5.6883297232202921</v>
      </c>
      <c r="AT307" s="5">
        <f t="shared" si="508"/>
        <v>2.797358663500396</v>
      </c>
      <c r="AU307" s="5">
        <f t="shared" si="516"/>
        <v>2.8909710597198961</v>
      </c>
      <c r="AV307" s="5"/>
      <c r="AW307" s="153">
        <f t="shared" si="517"/>
        <v>0.49177153920619565</v>
      </c>
      <c r="AX307" s="153"/>
      <c r="BA307" s="147">
        <f t="shared" si="509"/>
        <v>5.8677073027355267</v>
      </c>
      <c r="BB307" s="147">
        <f t="shared" si="510"/>
        <v>13.650369633333337</v>
      </c>
      <c r="BC307" s="5">
        <f t="shared" si="442"/>
        <v>0.27838980575080485</v>
      </c>
      <c r="BD307" s="147">
        <f t="shared" si="511"/>
        <v>0</v>
      </c>
      <c r="BQ307" s="463">
        <f t="shared" si="512"/>
        <v>3.4762000000000008E-2</v>
      </c>
      <c r="CG307" s="59">
        <f t="shared" si="513"/>
        <v>-50</v>
      </c>
      <c r="CH307">
        <f t="shared" si="514"/>
        <v>-50</v>
      </c>
    </row>
    <row r="308" spans="4:86" x14ac:dyDescent="0.25">
      <c r="E308" s="150">
        <v>92</v>
      </c>
      <c r="F308" s="191">
        <f t="shared" si="515"/>
        <v>9.2000000000000012E-2</v>
      </c>
      <c r="G308" s="191"/>
      <c r="H308" s="191">
        <f t="shared" si="481"/>
        <v>1.8400000000000003</v>
      </c>
      <c r="I308" s="472">
        <f t="shared" si="482"/>
        <v>21</v>
      </c>
      <c r="J308" s="386">
        <f t="shared" si="483"/>
        <v>20.32</v>
      </c>
      <c r="K308" s="386">
        <f t="shared" si="484"/>
        <v>41.32</v>
      </c>
      <c r="L308" s="386"/>
      <c r="M308" s="191">
        <f t="shared" si="485"/>
        <v>0.49177153920619554</v>
      </c>
      <c r="N308" s="152">
        <f t="shared" si="486"/>
        <v>3.5049491965150041</v>
      </c>
      <c r="O308" s="152">
        <f t="shared" si="478"/>
        <v>1.8400000000000003</v>
      </c>
      <c r="P308" s="191">
        <f t="shared" si="487"/>
        <v>0.17524745982575021</v>
      </c>
      <c r="Q308" s="191">
        <f t="shared" si="488"/>
        <v>20</v>
      </c>
      <c r="R308" s="191"/>
      <c r="S308" s="152">
        <f t="shared" si="489"/>
        <v>56.157029905331555</v>
      </c>
      <c r="T308" s="152">
        <f t="shared" si="490"/>
        <v>20</v>
      </c>
      <c r="U308" s="191">
        <f t="shared" si="491"/>
        <v>0.395933841603133</v>
      </c>
      <c r="V308" s="191">
        <f t="shared" si="492"/>
        <v>2.8280988685938069</v>
      </c>
      <c r="W308" s="191">
        <f t="shared" si="493"/>
        <v>2.9227399724640719</v>
      </c>
      <c r="X308" s="175">
        <f t="shared" si="494"/>
        <v>350</v>
      </c>
      <c r="Y308" s="386">
        <f t="shared" si="480"/>
        <v>173.88767580488275</v>
      </c>
      <c r="AA308" s="191">
        <f t="shared" si="495"/>
        <v>0.19670861568247827</v>
      </c>
      <c r="AB308" s="153">
        <f t="shared" si="496"/>
        <v>1.4520813165537272</v>
      </c>
      <c r="AC308" s="153">
        <f t="shared" si="497"/>
        <v>4.9986458486592979E-2</v>
      </c>
      <c r="AD308" s="153"/>
      <c r="AE308" s="153">
        <f t="shared" si="498"/>
        <v>1.1072834645669289</v>
      </c>
      <c r="AF308" s="317">
        <f t="shared" si="499"/>
        <v>1107.8162962962967</v>
      </c>
      <c r="AG308" s="463">
        <f t="shared" si="500"/>
        <v>2.9066190944881887E-2</v>
      </c>
      <c r="AI308" s="153">
        <f t="shared" si="501"/>
        <v>0.26686468838113808</v>
      </c>
      <c r="AJ308" s="153">
        <f t="shared" si="502"/>
        <v>0.395933841603133</v>
      </c>
      <c r="AK308" s="153">
        <f t="shared" si="503"/>
        <v>1.3639558944020886</v>
      </c>
      <c r="AM308" s="317">
        <f t="shared" si="504"/>
        <v>92.000000000000014</v>
      </c>
      <c r="AN308" s="147">
        <f t="shared" si="505"/>
        <v>173.88767580488275</v>
      </c>
      <c r="AP308">
        <f t="shared" si="506"/>
        <v>92.000000000000014</v>
      </c>
      <c r="AQ308">
        <f t="shared" si="507"/>
        <v>173.88767580488275</v>
      </c>
      <c r="AS308" s="5">
        <f t="shared" si="479"/>
        <v>5.7508388410578783</v>
      </c>
      <c r="AT308" s="5">
        <f t="shared" si="508"/>
        <v>2.8280988685938069</v>
      </c>
      <c r="AU308" s="5">
        <f t="shared" si="516"/>
        <v>2.9227399724640715</v>
      </c>
      <c r="AV308" s="5"/>
      <c r="AW308" s="153">
        <f t="shared" si="517"/>
        <v>0.4917715392061956</v>
      </c>
      <c r="AX308" s="153"/>
      <c r="BA308" s="147">
        <f t="shared" si="509"/>
        <v>5.8677073027355267</v>
      </c>
      <c r="BB308" s="147">
        <f t="shared" si="510"/>
        <v>13.948993186394562</v>
      </c>
      <c r="BC308" s="5">
        <f t="shared" si="442"/>
        <v>0.28454188091713717</v>
      </c>
      <c r="BD308" s="147">
        <f t="shared" si="511"/>
        <v>0</v>
      </c>
      <c r="BQ308" s="463">
        <f t="shared" si="512"/>
        <v>3.5144000000000002E-2</v>
      </c>
      <c r="CG308" s="59">
        <f t="shared" si="513"/>
        <v>-50</v>
      </c>
      <c r="CH308">
        <f t="shared" si="514"/>
        <v>-50</v>
      </c>
    </row>
    <row r="309" spans="4:86" x14ac:dyDescent="0.25">
      <c r="E309" s="150">
        <v>93</v>
      </c>
      <c r="F309" s="191">
        <f t="shared" si="515"/>
        <v>9.3000000000000013E-2</v>
      </c>
      <c r="G309" s="191"/>
      <c r="H309" s="191">
        <f t="shared" si="481"/>
        <v>1.8600000000000003</v>
      </c>
      <c r="I309" s="472">
        <f t="shared" si="482"/>
        <v>21</v>
      </c>
      <c r="J309" s="386">
        <f t="shared" si="483"/>
        <v>20.32</v>
      </c>
      <c r="K309" s="386">
        <f t="shared" si="484"/>
        <v>41.32</v>
      </c>
      <c r="L309" s="386"/>
      <c r="M309" s="191">
        <f t="shared" si="485"/>
        <v>0.49177153920619554</v>
      </c>
      <c r="N309" s="152">
        <f t="shared" si="486"/>
        <v>3.5049491965150041</v>
      </c>
      <c r="O309" s="152">
        <f t="shared" si="478"/>
        <v>1.8600000000000003</v>
      </c>
      <c r="P309" s="191">
        <f t="shared" si="487"/>
        <v>0.17524745982575021</v>
      </c>
      <c r="Q309" s="191">
        <f t="shared" si="488"/>
        <v>20</v>
      </c>
      <c r="R309" s="191"/>
      <c r="S309" s="152">
        <f t="shared" si="489"/>
        <v>55.33043120068254</v>
      </c>
      <c r="T309" s="152">
        <f t="shared" si="490"/>
        <v>20</v>
      </c>
      <c r="U309" s="191">
        <f t="shared" si="491"/>
        <v>0.40023747031621054</v>
      </c>
      <c r="V309" s="191">
        <f t="shared" si="492"/>
        <v>2.8588390736872173</v>
      </c>
      <c r="W309" s="191">
        <f t="shared" si="493"/>
        <v>2.9545088852082468</v>
      </c>
      <c r="X309" s="175">
        <f t="shared" si="494"/>
        <v>350</v>
      </c>
      <c r="Y309" s="386">
        <f t="shared" si="480"/>
        <v>172.01791584999151</v>
      </c>
      <c r="AA309" s="191">
        <f t="shared" si="495"/>
        <v>0.19670861568247827</v>
      </c>
      <c r="AB309" s="153">
        <f t="shared" si="496"/>
        <v>1.4520813165537272</v>
      </c>
      <c r="AC309" s="153">
        <f t="shared" si="497"/>
        <v>4.9986458486592979E-2</v>
      </c>
      <c r="AD309" s="153"/>
      <c r="AE309" s="153">
        <f t="shared" si="498"/>
        <v>1.1072834645669289</v>
      </c>
      <c r="AF309" s="317">
        <f t="shared" si="499"/>
        <v>1119.857777777778</v>
      </c>
      <c r="AG309" s="463">
        <f t="shared" si="500"/>
        <v>2.9066190944881887E-2</v>
      </c>
      <c r="AI309" s="153">
        <f t="shared" si="501"/>
        <v>0.26831112005069258</v>
      </c>
      <c r="AJ309" s="153">
        <f t="shared" si="502"/>
        <v>0.40023747031621054</v>
      </c>
      <c r="AK309" s="153">
        <f t="shared" si="503"/>
        <v>1.366824980210807</v>
      </c>
      <c r="AM309" s="317">
        <f t="shared" si="504"/>
        <v>93.000000000000014</v>
      </c>
      <c r="AN309" s="147">
        <f t="shared" si="505"/>
        <v>172.01791584999151</v>
      </c>
      <c r="AP309">
        <f t="shared" si="506"/>
        <v>93.000000000000014</v>
      </c>
      <c r="AQ309">
        <f t="shared" si="507"/>
        <v>172.01791584999151</v>
      </c>
      <c r="AS309" s="5">
        <f t="shared" si="479"/>
        <v>5.8133479588954646</v>
      </c>
      <c r="AT309" s="5">
        <f t="shared" si="508"/>
        <v>2.8588390736872173</v>
      </c>
      <c r="AU309" s="5">
        <f t="shared" si="516"/>
        <v>2.9545088852082473</v>
      </c>
      <c r="AV309" s="5"/>
      <c r="AW309" s="153">
        <f t="shared" si="517"/>
        <v>0.49177153920619548</v>
      </c>
      <c r="AX309" s="153"/>
      <c r="BA309" s="147">
        <f t="shared" si="509"/>
        <v>5.8677073027355267</v>
      </c>
      <c r="BB309" s="147">
        <f t="shared" si="510"/>
        <v>14.250847597959185</v>
      </c>
      <c r="BC309" s="5">
        <f t="shared" ref="BC309:BC316" si="518">H309/Efficiency/I309*AU309/Vinripple1</f>
        <v>0.29076119187763705</v>
      </c>
      <c r="BD309" s="147">
        <f t="shared" si="511"/>
        <v>0</v>
      </c>
      <c r="BQ309" s="463">
        <f t="shared" si="512"/>
        <v>3.5526000000000002E-2</v>
      </c>
      <c r="CG309" s="59">
        <f t="shared" si="513"/>
        <v>-50</v>
      </c>
      <c r="CH309">
        <f t="shared" si="514"/>
        <v>-50</v>
      </c>
    </row>
    <row r="310" spans="4:86" x14ac:dyDescent="0.25">
      <c r="E310" s="150">
        <v>94</v>
      </c>
      <c r="F310" s="191">
        <f t="shared" si="515"/>
        <v>9.4E-2</v>
      </c>
      <c r="G310" s="191"/>
      <c r="H310" s="191">
        <f t="shared" si="481"/>
        <v>1.88</v>
      </c>
      <c r="I310" s="472">
        <f t="shared" si="482"/>
        <v>21</v>
      </c>
      <c r="J310" s="386">
        <f t="shared" si="483"/>
        <v>20.32</v>
      </c>
      <c r="K310" s="386">
        <f t="shared" si="484"/>
        <v>41.32</v>
      </c>
      <c r="L310" s="386"/>
      <c r="M310" s="191">
        <f t="shared" si="485"/>
        <v>0.49177153920619554</v>
      </c>
      <c r="N310" s="152">
        <f t="shared" si="486"/>
        <v>3.5049491965150041</v>
      </c>
      <c r="O310" s="152">
        <f t="shared" si="478"/>
        <v>1.88</v>
      </c>
      <c r="P310" s="191">
        <f t="shared" si="487"/>
        <v>0.17524745982575021</v>
      </c>
      <c r="Q310" s="191">
        <f t="shared" si="488"/>
        <v>20</v>
      </c>
      <c r="R310" s="191"/>
      <c r="S310" s="152">
        <f t="shared" si="489"/>
        <v>54.521471176219578</v>
      </c>
      <c r="T310" s="152">
        <f t="shared" si="490"/>
        <v>20</v>
      </c>
      <c r="U310" s="191">
        <f t="shared" si="491"/>
        <v>0.40454109902928798</v>
      </c>
      <c r="V310" s="191">
        <f t="shared" si="492"/>
        <v>2.8895792787806278</v>
      </c>
      <c r="W310" s="191">
        <f t="shared" si="493"/>
        <v>2.9862777979524209</v>
      </c>
      <c r="X310" s="175">
        <f t="shared" si="494"/>
        <v>350</v>
      </c>
      <c r="Y310" s="386">
        <f t="shared" si="480"/>
        <v>170.18793802180019</v>
      </c>
      <c r="AA310" s="191">
        <f t="shared" si="495"/>
        <v>0.19670861568247827</v>
      </c>
      <c r="AB310" s="153">
        <f t="shared" si="496"/>
        <v>1.4520813165537272</v>
      </c>
      <c r="AC310" s="153">
        <f t="shared" si="497"/>
        <v>4.9986458486592979E-2</v>
      </c>
      <c r="AD310" s="153"/>
      <c r="AE310" s="153">
        <f t="shared" si="498"/>
        <v>1.1072834645669289</v>
      </c>
      <c r="AF310" s="317">
        <f t="shared" si="499"/>
        <v>1131.8992592592592</v>
      </c>
      <c r="AG310" s="463">
        <f t="shared" si="500"/>
        <v>2.9066190944881887E-2</v>
      </c>
      <c r="AI310" s="153">
        <f t="shared" si="501"/>
        <v>0.2697497958867669</v>
      </c>
      <c r="AJ310" s="153">
        <f t="shared" si="502"/>
        <v>0.40454109902928798</v>
      </c>
      <c r="AK310" s="153">
        <f t="shared" si="503"/>
        <v>1.3696940660195254</v>
      </c>
      <c r="AM310" s="317">
        <f t="shared" si="504"/>
        <v>94</v>
      </c>
      <c r="AN310" s="147">
        <f t="shared" si="505"/>
        <v>170.18793802180019</v>
      </c>
      <c r="AP310">
        <f t="shared" si="506"/>
        <v>94</v>
      </c>
      <c r="AQ310">
        <f t="shared" si="507"/>
        <v>170.18793802180019</v>
      </c>
      <c r="AS310" s="5">
        <f t="shared" si="479"/>
        <v>5.8758570767330482</v>
      </c>
      <c r="AT310" s="5">
        <f t="shared" si="508"/>
        <v>2.8895792787806278</v>
      </c>
      <c r="AU310" s="5">
        <f t="shared" si="516"/>
        <v>2.9862777979524204</v>
      </c>
      <c r="AV310" s="5"/>
      <c r="AW310" s="153">
        <f t="shared" si="517"/>
        <v>0.49177153920619554</v>
      </c>
      <c r="AX310" s="153"/>
      <c r="BA310" s="147">
        <f t="shared" si="509"/>
        <v>5.8677073027355267</v>
      </c>
      <c r="BB310" s="147">
        <f t="shared" si="510"/>
        <v>14.555932868027211</v>
      </c>
      <c r="BC310" s="5">
        <f t="shared" si="518"/>
        <v>0.29704773863230421</v>
      </c>
      <c r="BD310" s="147">
        <f t="shared" si="511"/>
        <v>0</v>
      </c>
      <c r="BQ310" s="463">
        <f t="shared" si="512"/>
        <v>3.5908000000000002E-2</v>
      </c>
      <c r="CG310" s="59">
        <f t="shared" si="513"/>
        <v>-50</v>
      </c>
      <c r="CH310">
        <f t="shared" si="514"/>
        <v>-50</v>
      </c>
    </row>
    <row r="311" spans="4:86" x14ac:dyDescent="0.25">
      <c r="E311" s="150">
        <v>95</v>
      </c>
      <c r="F311" s="191">
        <f t="shared" si="515"/>
        <v>9.5000000000000001E-2</v>
      </c>
      <c r="G311" s="191"/>
      <c r="H311" s="191">
        <f t="shared" si="481"/>
        <v>1.9</v>
      </c>
      <c r="I311" s="472">
        <f t="shared" si="482"/>
        <v>21</v>
      </c>
      <c r="J311" s="386">
        <f t="shared" si="483"/>
        <v>20.32</v>
      </c>
      <c r="K311" s="386">
        <f t="shared" si="484"/>
        <v>41.32</v>
      </c>
      <c r="L311" s="386"/>
      <c r="M311" s="191">
        <f t="shared" si="485"/>
        <v>0.49177153920619554</v>
      </c>
      <c r="N311" s="152">
        <f t="shared" si="486"/>
        <v>3.5049491965150041</v>
      </c>
      <c r="O311" s="152">
        <f t="shared" si="478"/>
        <v>1.9</v>
      </c>
      <c r="P311" s="191">
        <f t="shared" si="487"/>
        <v>0.17524745982575021</v>
      </c>
      <c r="Q311" s="191">
        <f t="shared" si="488"/>
        <v>20</v>
      </c>
      <c r="R311" s="191"/>
      <c r="S311" s="152">
        <f t="shared" si="489"/>
        <v>53.729593417847823</v>
      </c>
      <c r="T311" s="152">
        <f t="shared" si="490"/>
        <v>20</v>
      </c>
      <c r="U311" s="191">
        <f t="shared" si="491"/>
        <v>0.40884472774236547</v>
      </c>
      <c r="V311" s="191">
        <f t="shared" si="492"/>
        <v>2.9203194838740387</v>
      </c>
      <c r="W311" s="191">
        <f t="shared" si="493"/>
        <v>3.0180467106965954</v>
      </c>
      <c r="X311" s="175">
        <f t="shared" si="494"/>
        <v>350</v>
      </c>
      <c r="Y311" s="386">
        <f t="shared" si="480"/>
        <v>168.39648604262334</v>
      </c>
      <c r="AA311" s="191">
        <f t="shared" si="495"/>
        <v>0.19670861568247827</v>
      </c>
      <c r="AB311" s="153">
        <f t="shared" si="496"/>
        <v>1.4520813165537272</v>
      </c>
      <c r="AC311" s="153">
        <f t="shared" si="497"/>
        <v>4.9986458486592979E-2</v>
      </c>
      <c r="AD311" s="153"/>
      <c r="AE311" s="153">
        <f t="shared" si="498"/>
        <v>1.1072834645669289</v>
      </c>
      <c r="AF311" s="317">
        <f t="shared" si="499"/>
        <v>1143.9407407407409</v>
      </c>
      <c r="AG311" s="463">
        <f t="shared" si="500"/>
        <v>2.9066190944881887E-2</v>
      </c>
      <c r="AI311" s="153">
        <f t="shared" si="501"/>
        <v>0.27118083932875425</v>
      </c>
      <c r="AJ311" s="153">
        <f t="shared" si="502"/>
        <v>0.40884472774236547</v>
      </c>
      <c r="AK311" s="153">
        <f t="shared" si="503"/>
        <v>1.3725631518282437</v>
      </c>
      <c r="AM311" s="317">
        <f t="shared" si="504"/>
        <v>95</v>
      </c>
      <c r="AN311" s="147">
        <f t="shared" si="505"/>
        <v>168.39648604262334</v>
      </c>
      <c r="AP311">
        <f t="shared" si="506"/>
        <v>95</v>
      </c>
      <c r="AQ311">
        <f t="shared" si="507"/>
        <v>168.39648604262334</v>
      </c>
      <c r="AS311" s="5">
        <f t="shared" si="479"/>
        <v>5.9383661945706336</v>
      </c>
      <c r="AT311" s="5">
        <f t="shared" si="508"/>
        <v>2.9203194838740387</v>
      </c>
      <c r="AU311" s="5">
        <f t="shared" si="516"/>
        <v>3.0180467106965949</v>
      </c>
      <c r="AV311" s="5"/>
      <c r="AW311" s="153">
        <f t="shared" si="517"/>
        <v>0.49177153920619554</v>
      </c>
      <c r="AX311" s="153"/>
      <c r="BA311" s="147">
        <f t="shared" si="509"/>
        <v>5.8677073027355267</v>
      </c>
      <c r="BB311" s="147">
        <f t="shared" si="510"/>
        <v>14.86424899659864</v>
      </c>
      <c r="BC311" s="5">
        <f t="shared" si="518"/>
        <v>0.30340152118113922</v>
      </c>
      <c r="BD311" s="147">
        <f t="shared" si="511"/>
        <v>0</v>
      </c>
      <c r="BQ311" s="463">
        <f t="shared" si="512"/>
        <v>3.6290000000000003E-2</v>
      </c>
      <c r="CG311" s="59">
        <f t="shared" si="513"/>
        <v>-50</v>
      </c>
      <c r="CH311">
        <f t="shared" si="514"/>
        <v>-50</v>
      </c>
    </row>
    <row r="312" spans="4:86" x14ac:dyDescent="0.25">
      <c r="E312" s="150">
        <v>96</v>
      </c>
      <c r="F312" s="191">
        <f t="shared" si="515"/>
        <v>9.6000000000000002E-2</v>
      </c>
      <c r="G312" s="191"/>
      <c r="H312" s="191">
        <f t="shared" ref="H312:H316" si="519">F312*Vout</f>
        <v>1.92</v>
      </c>
      <c r="I312" s="472">
        <f t="shared" si="482"/>
        <v>21</v>
      </c>
      <c r="J312" s="386">
        <f t="shared" si="483"/>
        <v>20.32</v>
      </c>
      <c r="K312" s="386">
        <f t="shared" si="484"/>
        <v>41.32</v>
      </c>
      <c r="L312" s="386"/>
      <c r="M312" s="191">
        <f t="shared" si="485"/>
        <v>0.49177153920619554</v>
      </c>
      <c r="N312" s="152">
        <f t="shared" ref="N312:N316" si="520">M312*I312*(Isw_max+VIN_max/Lmag*ILIM_delay)*0.5*Efficiency</f>
        <v>3.5049491965150041</v>
      </c>
      <c r="O312" s="152">
        <f t="shared" si="478"/>
        <v>1.92</v>
      </c>
      <c r="P312" s="191">
        <f t="shared" ref="P312:P316" si="521">N312/Vout</f>
        <v>0.17524745982575021</v>
      </c>
      <c r="Q312" s="191">
        <f t="shared" si="488"/>
        <v>20</v>
      </c>
      <c r="R312" s="191"/>
      <c r="S312" s="152">
        <f t="shared" si="489"/>
        <v>52.954264704363673</v>
      </c>
      <c r="T312" s="152">
        <f t="shared" ref="T312:T316" si="522">MIN(Vout, S312)</f>
        <v>20</v>
      </c>
      <c r="U312" s="191">
        <f t="shared" si="491"/>
        <v>0.41314835645544301</v>
      </c>
      <c r="V312" s="191">
        <f t="shared" ref="V312:V316" si="523">L*U312/I312*1000000</f>
        <v>2.9510596889674496</v>
      </c>
      <c r="W312" s="191">
        <f t="shared" si="493"/>
        <v>3.0498156234407698</v>
      </c>
      <c r="X312" s="175">
        <f t="shared" si="494"/>
        <v>350</v>
      </c>
      <c r="Y312" s="386">
        <f t="shared" si="480"/>
        <v>166.64235597967937</v>
      </c>
      <c r="AA312" s="191">
        <f t="shared" si="495"/>
        <v>0.19670861568247827</v>
      </c>
      <c r="AB312" s="153">
        <f t="shared" ref="AB312:AB316" si="524">L*AA312/J312*1000000</f>
        <v>1.4520813165537272</v>
      </c>
      <c r="AC312" s="153">
        <f t="shared" ref="AC312:AC316" si="525">0.5*AB312*AA312*Nps*X312/1000</f>
        <v>4.9986458486592979E-2</v>
      </c>
      <c r="AD312" s="153"/>
      <c r="AE312" s="153">
        <f t="shared" si="498"/>
        <v>1.1072834645669289</v>
      </c>
      <c r="AF312" s="317">
        <f t="shared" ref="AF312:AF316" si="526">MAX(12000,F312/(0.5*AE312/1000000*Isw_min*Nps))/1000</f>
        <v>1155.9822222222222</v>
      </c>
      <c r="AG312" s="463">
        <f t="shared" si="500"/>
        <v>2.9066190944881887E-2</v>
      </c>
      <c r="AI312" s="153">
        <f t="shared" si="501"/>
        <v>0.2726043705760105</v>
      </c>
      <c r="AJ312" s="153">
        <f t="shared" ref="AJ312:AJ316" si="527">MAX(IF(F312&gt;AC312,U312,AI312),Isw_min)</f>
        <v>0.41314835645544301</v>
      </c>
      <c r="AK312" s="153">
        <f t="shared" ref="AK312:AK316" si="528">IF(F312&gt;AG312, (AJ312-Isw_min)/1.2*0.8+1.2, AF312*0.2/350+1)</f>
        <v>1.3754322376369621</v>
      </c>
      <c r="AM312" s="317">
        <f t="shared" si="504"/>
        <v>96</v>
      </c>
      <c r="AN312" s="147">
        <f t="shared" si="505"/>
        <v>166.64235597967937</v>
      </c>
      <c r="AP312">
        <f t="shared" si="506"/>
        <v>96</v>
      </c>
      <c r="AQ312">
        <f t="shared" si="507"/>
        <v>166.64235597967937</v>
      </c>
      <c r="AS312" s="5">
        <f t="shared" si="479"/>
        <v>6.0008753124082181</v>
      </c>
      <c r="AT312" s="5">
        <f t="shared" si="508"/>
        <v>2.9510596889674496</v>
      </c>
      <c r="AU312" s="5">
        <f t="shared" si="516"/>
        <v>3.0498156234407685</v>
      </c>
      <c r="AV312" s="5"/>
      <c r="AW312" s="153">
        <f t="shared" si="517"/>
        <v>0.49177153920619565</v>
      </c>
      <c r="AX312" s="153"/>
      <c r="BA312" s="147">
        <f t="shared" si="509"/>
        <v>5.8677073027355267</v>
      </c>
      <c r="BB312" s="147">
        <f t="shared" si="510"/>
        <v>15.175795983673467</v>
      </c>
      <c r="BC312" s="5">
        <f t="shared" si="518"/>
        <v>0.30982253952414157</v>
      </c>
      <c r="BD312" s="147">
        <f t="shared" si="511"/>
        <v>0</v>
      </c>
      <c r="BQ312" s="463">
        <f t="shared" si="512"/>
        <v>3.6672000000000003E-2</v>
      </c>
      <c r="CG312" s="59">
        <f t="shared" si="513"/>
        <v>-50</v>
      </c>
      <c r="CH312">
        <f t="shared" si="514"/>
        <v>-50</v>
      </c>
    </row>
    <row r="313" spans="4:86" x14ac:dyDescent="0.25">
      <c r="E313" s="150">
        <v>97</v>
      </c>
      <c r="F313" s="191">
        <f t="shared" ref="F313:F316" si="529">IF(PLOT_TYPE=1, E313/100*Iout_max, min_I*EXP(N313*rr/100))</f>
        <v>9.7000000000000003E-2</v>
      </c>
      <c r="G313" s="191"/>
      <c r="H313" s="191">
        <f t="shared" si="519"/>
        <v>1.94</v>
      </c>
      <c r="I313" s="472">
        <f t="shared" si="482"/>
        <v>21</v>
      </c>
      <c r="J313" s="386">
        <f t="shared" si="483"/>
        <v>20.32</v>
      </c>
      <c r="K313" s="386">
        <f t="shared" si="484"/>
        <v>41.32</v>
      </c>
      <c r="L313" s="386"/>
      <c r="M313" s="191">
        <f t="shared" si="485"/>
        <v>0.49177153920619554</v>
      </c>
      <c r="N313" s="152">
        <f t="shared" si="520"/>
        <v>3.5049491965150041</v>
      </c>
      <c r="O313" s="152">
        <f t="shared" si="478"/>
        <v>1.94</v>
      </c>
      <c r="P313" s="191">
        <f t="shared" si="521"/>
        <v>0.17524745982575021</v>
      </c>
      <c r="Q313" s="191">
        <f t="shared" si="488"/>
        <v>20</v>
      </c>
      <c r="R313" s="191"/>
      <c r="S313" s="152">
        <f t="shared" si="489"/>
        <v>52.194973812107911</v>
      </c>
      <c r="T313" s="152">
        <f t="shared" si="522"/>
        <v>20</v>
      </c>
      <c r="U313" s="191">
        <f t="shared" si="491"/>
        <v>0.41745198516852056</v>
      </c>
      <c r="V313" s="191">
        <f t="shared" si="523"/>
        <v>2.981799894060861</v>
      </c>
      <c r="W313" s="191">
        <f t="shared" si="493"/>
        <v>3.0815845361849448</v>
      </c>
      <c r="X313" s="175">
        <f t="shared" si="494"/>
        <v>350</v>
      </c>
      <c r="Y313" s="386">
        <f t="shared" si="480"/>
        <v>164.92439354689913</v>
      </c>
      <c r="AA313" s="191">
        <f t="shared" si="495"/>
        <v>0.19670861568247827</v>
      </c>
      <c r="AB313" s="153">
        <f t="shared" si="524"/>
        <v>1.4520813165537272</v>
      </c>
      <c r="AC313" s="153">
        <f t="shared" si="525"/>
        <v>4.9986458486592979E-2</v>
      </c>
      <c r="AD313" s="153"/>
      <c r="AE313" s="153">
        <f t="shared" si="498"/>
        <v>1.1072834645669289</v>
      </c>
      <c r="AF313" s="317">
        <f t="shared" si="526"/>
        <v>1168.0237037037039</v>
      </c>
      <c r="AG313" s="463">
        <f t="shared" si="500"/>
        <v>2.9066190944881887E-2</v>
      </c>
      <c r="AI313" s="153">
        <f t="shared" si="501"/>
        <v>0.2740205067056809</v>
      </c>
      <c r="AJ313" s="153">
        <f t="shared" si="527"/>
        <v>0.41745198516852056</v>
      </c>
      <c r="AK313" s="153">
        <f t="shared" si="528"/>
        <v>1.3783013234456805</v>
      </c>
      <c r="AM313" s="317">
        <f t="shared" si="504"/>
        <v>97</v>
      </c>
      <c r="AN313" s="147">
        <f t="shared" si="505"/>
        <v>164.92439354689913</v>
      </c>
      <c r="AP313">
        <f t="shared" si="506"/>
        <v>97</v>
      </c>
      <c r="AQ313">
        <f t="shared" si="507"/>
        <v>164.92439354689913</v>
      </c>
      <c r="AS313" s="5">
        <f t="shared" si="479"/>
        <v>6.0633844302458062</v>
      </c>
      <c r="AT313" s="5">
        <f t="shared" si="508"/>
        <v>2.981799894060861</v>
      </c>
      <c r="AU313" s="5">
        <f t="shared" si="516"/>
        <v>3.0815845361849452</v>
      </c>
      <c r="AV313" s="5"/>
      <c r="AW313" s="153">
        <f t="shared" si="517"/>
        <v>0.49177153920619554</v>
      </c>
      <c r="AX313" s="153"/>
      <c r="BA313" s="147">
        <f t="shared" si="509"/>
        <v>5.8677073027355267</v>
      </c>
      <c r="BB313" s="147">
        <f t="shared" si="510"/>
        <v>15.490573829251701</v>
      </c>
      <c r="BC313" s="5">
        <f t="shared" si="518"/>
        <v>0.31631079366131182</v>
      </c>
      <c r="BD313" s="147">
        <f t="shared" si="511"/>
        <v>0</v>
      </c>
      <c r="BQ313" s="463">
        <f t="shared" si="512"/>
        <v>3.7053999999999997E-2</v>
      </c>
      <c r="CG313" s="59">
        <f t="shared" si="513"/>
        <v>-50</v>
      </c>
      <c r="CH313">
        <f t="shared" si="514"/>
        <v>-50</v>
      </c>
    </row>
    <row r="314" spans="4:86" x14ac:dyDescent="0.25">
      <c r="E314" s="150">
        <v>98</v>
      </c>
      <c r="F314" s="191">
        <f t="shared" si="529"/>
        <v>9.8000000000000004E-2</v>
      </c>
      <c r="G314" s="191"/>
      <c r="H314" s="191">
        <f t="shared" si="519"/>
        <v>1.96</v>
      </c>
      <c r="I314" s="472">
        <f t="shared" si="482"/>
        <v>21</v>
      </c>
      <c r="J314" s="386">
        <f t="shared" si="483"/>
        <v>20.32</v>
      </c>
      <c r="K314" s="386">
        <f t="shared" si="484"/>
        <v>41.32</v>
      </c>
      <c r="L314" s="386"/>
      <c r="M314" s="191">
        <f t="shared" si="485"/>
        <v>0.49177153920619554</v>
      </c>
      <c r="N314" s="152">
        <f t="shared" si="520"/>
        <v>3.5049491965150041</v>
      </c>
      <c r="O314" s="152">
        <f t="shared" si="478"/>
        <v>1.96</v>
      </c>
      <c r="P314" s="191">
        <f t="shared" si="521"/>
        <v>0.17524745982575021</v>
      </c>
      <c r="Q314" s="191">
        <f t="shared" si="488"/>
        <v>20</v>
      </c>
      <c r="R314" s="191"/>
      <c r="S314" s="152">
        <f t="shared" si="489"/>
        <v>51.451230392807219</v>
      </c>
      <c r="T314" s="152">
        <f t="shared" si="522"/>
        <v>20</v>
      </c>
      <c r="U314" s="191">
        <f t="shared" si="491"/>
        <v>0.4217556138815981</v>
      </c>
      <c r="V314" s="191">
        <f t="shared" si="523"/>
        <v>3.0125400991542719</v>
      </c>
      <c r="W314" s="191">
        <f t="shared" si="493"/>
        <v>3.1133534489291197</v>
      </c>
      <c r="X314" s="175">
        <f t="shared" si="494"/>
        <v>350</v>
      </c>
      <c r="Y314" s="386">
        <f t="shared" si="480"/>
        <v>163.24149157193077</v>
      </c>
      <c r="AA314" s="191">
        <f t="shared" si="495"/>
        <v>0.19670861568247827</v>
      </c>
      <c r="AB314" s="153">
        <f t="shared" si="524"/>
        <v>1.4520813165537272</v>
      </c>
      <c r="AC314" s="153">
        <f t="shared" si="525"/>
        <v>4.9986458486592979E-2</v>
      </c>
      <c r="AD314" s="153"/>
      <c r="AE314" s="153">
        <f t="shared" si="498"/>
        <v>1.1072834645669289</v>
      </c>
      <c r="AF314" s="317">
        <f t="shared" si="526"/>
        <v>1180.0651851851853</v>
      </c>
      <c r="AG314" s="463">
        <f t="shared" si="500"/>
        <v>2.9066190944881887E-2</v>
      </c>
      <c r="AI314" s="153">
        <f t="shared" si="501"/>
        <v>0.27542936178507432</v>
      </c>
      <c r="AJ314" s="153">
        <f t="shared" si="527"/>
        <v>0.4217556138815981</v>
      </c>
      <c r="AK314" s="153">
        <f t="shared" si="528"/>
        <v>1.3811704092543988</v>
      </c>
      <c r="AM314" s="317">
        <f t="shared" si="504"/>
        <v>98</v>
      </c>
      <c r="AN314" s="147">
        <f t="shared" si="505"/>
        <v>163.24149157193077</v>
      </c>
      <c r="AP314">
        <f t="shared" si="506"/>
        <v>98</v>
      </c>
      <c r="AQ314">
        <f t="shared" si="507"/>
        <v>163.24149157193077</v>
      </c>
      <c r="AS314" s="5">
        <f t="shared" si="479"/>
        <v>6.1258935480833916</v>
      </c>
      <c r="AT314" s="5">
        <f t="shared" si="508"/>
        <v>3.0125400991542719</v>
      </c>
      <c r="AU314" s="5">
        <f t="shared" si="516"/>
        <v>3.1133534489291197</v>
      </c>
      <c r="AV314" s="5"/>
      <c r="AW314" s="153">
        <f t="shared" si="517"/>
        <v>0.49177153920619554</v>
      </c>
      <c r="AX314" s="153"/>
      <c r="BA314" s="147">
        <f t="shared" si="509"/>
        <v>5.8677073027355267</v>
      </c>
      <c r="BB314" s="147">
        <f t="shared" si="510"/>
        <v>15.808582533333334</v>
      </c>
      <c r="BC314" s="5">
        <f t="shared" si="518"/>
        <v>0.32286628359264946</v>
      </c>
      <c r="BD314" s="147">
        <f t="shared" si="511"/>
        <v>0</v>
      </c>
      <c r="BQ314" s="463">
        <f t="shared" si="512"/>
        <v>3.7436000000000004E-2</v>
      </c>
      <c r="CG314" s="59">
        <f t="shared" si="513"/>
        <v>-50</v>
      </c>
      <c r="CH314">
        <f t="shared" si="514"/>
        <v>-50</v>
      </c>
    </row>
    <row r="315" spans="4:86" x14ac:dyDescent="0.25">
      <c r="E315" s="150">
        <v>99</v>
      </c>
      <c r="F315" s="191">
        <f t="shared" si="529"/>
        <v>9.9000000000000005E-2</v>
      </c>
      <c r="G315" s="191"/>
      <c r="H315" s="191">
        <f t="shared" si="519"/>
        <v>1.98</v>
      </c>
      <c r="I315" s="472">
        <f t="shared" si="482"/>
        <v>21</v>
      </c>
      <c r="J315" s="386">
        <f t="shared" si="483"/>
        <v>20.32</v>
      </c>
      <c r="K315" s="386">
        <f t="shared" si="484"/>
        <v>41.32</v>
      </c>
      <c r="L315" s="386"/>
      <c r="M315" s="191">
        <f t="shared" si="485"/>
        <v>0.49177153920619554</v>
      </c>
      <c r="N315" s="152">
        <f t="shared" si="520"/>
        <v>3.5049491965150041</v>
      </c>
      <c r="O315" s="152">
        <f t="shared" si="478"/>
        <v>1.98</v>
      </c>
      <c r="P315" s="191">
        <f t="shared" si="521"/>
        <v>0.17524745982575021</v>
      </c>
      <c r="Q315" s="191">
        <f t="shared" si="488"/>
        <v>20</v>
      </c>
      <c r="R315" s="191"/>
      <c r="S315" s="152">
        <f t="shared" si="489"/>
        <v>50.722563919428438</v>
      </c>
      <c r="T315" s="152">
        <f t="shared" si="522"/>
        <v>20</v>
      </c>
      <c r="U315" s="191">
        <f t="shared" si="491"/>
        <v>0.42605924259467565</v>
      </c>
      <c r="V315" s="191">
        <f t="shared" si="523"/>
        <v>3.0432803042476824</v>
      </c>
      <c r="W315" s="191">
        <f t="shared" si="493"/>
        <v>3.1451223616732942</v>
      </c>
      <c r="X315" s="175">
        <f t="shared" si="494"/>
        <v>350</v>
      </c>
      <c r="Y315" s="386">
        <f t="shared" si="480"/>
        <v>161.59258761665873</v>
      </c>
      <c r="AA315" s="191">
        <f t="shared" si="495"/>
        <v>0.19670861568247827</v>
      </c>
      <c r="AB315" s="153">
        <f t="shared" si="524"/>
        <v>1.4520813165537272</v>
      </c>
      <c r="AC315" s="153">
        <f t="shared" si="525"/>
        <v>4.9986458486592979E-2</v>
      </c>
      <c r="AD315" s="153"/>
      <c r="AE315" s="153">
        <f t="shared" si="498"/>
        <v>1.1072834645669289</v>
      </c>
      <c r="AF315" s="317">
        <f t="shared" si="526"/>
        <v>1192.1066666666668</v>
      </c>
      <c r="AG315" s="463">
        <f t="shared" si="500"/>
        <v>2.9066190944881887E-2</v>
      </c>
      <c r="AI315" s="153">
        <f t="shared" si="501"/>
        <v>0.27683104697889033</v>
      </c>
      <c r="AJ315" s="153">
        <f t="shared" si="527"/>
        <v>0.42605924259467565</v>
      </c>
      <c r="AK315" s="153">
        <f t="shared" si="528"/>
        <v>1.3840394950631172</v>
      </c>
      <c r="AM315" s="317">
        <f t="shared" si="504"/>
        <v>99</v>
      </c>
      <c r="AN315" s="147">
        <f t="shared" si="505"/>
        <v>161.59258761665873</v>
      </c>
      <c r="AP315">
        <f t="shared" si="506"/>
        <v>99</v>
      </c>
      <c r="AQ315">
        <f t="shared" si="507"/>
        <v>161.59258761665873</v>
      </c>
      <c r="AS315" s="5">
        <f t="shared" si="479"/>
        <v>6.188402665920977</v>
      </c>
      <c r="AT315" s="5">
        <f t="shared" si="508"/>
        <v>3.0432803042476824</v>
      </c>
      <c r="AU315" s="5">
        <f t="shared" si="516"/>
        <v>3.1451223616732946</v>
      </c>
      <c r="AV315" s="5"/>
      <c r="AW315" s="153">
        <f t="shared" si="517"/>
        <v>0.49177153920619548</v>
      </c>
      <c r="AX315" s="153"/>
      <c r="BA315" s="147">
        <f t="shared" si="509"/>
        <v>5.8677073027355267</v>
      </c>
      <c r="BB315" s="147">
        <f t="shared" si="510"/>
        <v>16.129822095918367</v>
      </c>
      <c r="BC315" s="5">
        <f t="shared" si="518"/>
        <v>0.32948900931815461</v>
      </c>
      <c r="BD315" s="147">
        <f t="shared" si="511"/>
        <v>0</v>
      </c>
      <c r="BQ315" s="463">
        <f t="shared" si="512"/>
        <v>3.7818000000000004E-2</v>
      </c>
      <c r="CG315" s="59">
        <f t="shared" si="513"/>
        <v>-50</v>
      </c>
      <c r="CH315">
        <f t="shared" si="514"/>
        <v>-50</v>
      </c>
    </row>
    <row r="316" spans="4:86" x14ac:dyDescent="0.25">
      <c r="E316" s="150">
        <v>100</v>
      </c>
      <c r="F316" s="191">
        <f t="shared" si="529"/>
        <v>0.1</v>
      </c>
      <c r="G316" s="191"/>
      <c r="H316" s="191">
        <f t="shared" si="519"/>
        <v>2</v>
      </c>
      <c r="I316" s="472">
        <f t="shared" si="482"/>
        <v>21</v>
      </c>
      <c r="J316" s="386">
        <f t="shared" si="483"/>
        <v>20.32</v>
      </c>
      <c r="K316" s="386">
        <f t="shared" si="484"/>
        <v>41.32</v>
      </c>
      <c r="L316" s="386"/>
      <c r="M316" s="191">
        <f t="shared" si="485"/>
        <v>0.49177153920619554</v>
      </c>
      <c r="N316" s="152">
        <f t="shared" si="520"/>
        <v>3.5049491965150041</v>
      </c>
      <c r="O316" s="152">
        <f t="shared" si="478"/>
        <v>2</v>
      </c>
      <c r="P316" s="191">
        <f t="shared" si="521"/>
        <v>0.17524745982575021</v>
      </c>
      <c r="Q316" s="191">
        <f t="shared" si="488"/>
        <v>20</v>
      </c>
      <c r="R316" s="191"/>
      <c r="S316" s="152">
        <f t="shared" si="489"/>
        <v>50.008522695285265</v>
      </c>
      <c r="T316" s="152">
        <f t="shared" si="522"/>
        <v>20</v>
      </c>
      <c r="U316" s="191">
        <f t="shared" si="491"/>
        <v>0.43036287130775319</v>
      </c>
      <c r="V316" s="191">
        <f t="shared" si="523"/>
        <v>3.0740205093410937</v>
      </c>
      <c r="W316" s="191">
        <f t="shared" si="493"/>
        <v>3.1768912744174691</v>
      </c>
      <c r="X316" s="175">
        <f t="shared" si="494"/>
        <v>350</v>
      </c>
      <c r="Y316" s="386">
        <f t="shared" si="480"/>
        <v>159.97666174049215</v>
      </c>
      <c r="AA316" s="191">
        <f t="shared" si="495"/>
        <v>0.19670861568247827</v>
      </c>
      <c r="AB316" s="153">
        <f t="shared" si="524"/>
        <v>1.4520813165537272</v>
      </c>
      <c r="AC316" s="153">
        <f t="shared" si="525"/>
        <v>4.9986458486592979E-2</v>
      </c>
      <c r="AD316" s="153"/>
      <c r="AE316" s="153">
        <f t="shared" si="498"/>
        <v>1.1072834645669289</v>
      </c>
      <c r="AF316" s="317">
        <f t="shared" si="526"/>
        <v>1204.1481481481483</v>
      </c>
      <c r="AG316" s="463">
        <f t="shared" si="500"/>
        <v>2.9066190944881887E-2</v>
      </c>
      <c r="AI316" s="153">
        <f t="shared" si="501"/>
        <v>0.27822567065158427</v>
      </c>
      <c r="AJ316" s="153">
        <f t="shared" si="527"/>
        <v>0.43036287130775319</v>
      </c>
      <c r="AK316" s="153">
        <f t="shared" si="528"/>
        <v>1.3869085808718356</v>
      </c>
      <c r="AM316" s="317">
        <f t="shared" si="504"/>
        <v>100</v>
      </c>
      <c r="AN316" s="147">
        <f t="shared" si="505"/>
        <v>159.97666174049215</v>
      </c>
      <c r="AP316">
        <f t="shared" si="506"/>
        <v>100</v>
      </c>
      <c r="AQ316">
        <f t="shared" si="507"/>
        <v>159.97666174049215</v>
      </c>
      <c r="AS316" s="5">
        <f t="shared" si="479"/>
        <v>6.2509117837585633</v>
      </c>
      <c r="AT316" s="5">
        <f t="shared" si="508"/>
        <v>3.0740205093410937</v>
      </c>
      <c r="AU316" s="5">
        <f t="shared" si="516"/>
        <v>3.1768912744174695</v>
      </c>
      <c r="AV316" s="5"/>
      <c r="AW316" s="153">
        <f t="shared" si="517"/>
        <v>0.49177153920619548</v>
      </c>
      <c r="AX316" s="153"/>
      <c r="BA316" s="147">
        <f t="shared" si="509"/>
        <v>5.8677073027355267</v>
      </c>
      <c r="BB316" s="147">
        <f t="shared" si="510"/>
        <v>16.454292517006806</v>
      </c>
      <c r="BC316" s="5">
        <f t="shared" si="518"/>
        <v>0.3361789708378275</v>
      </c>
      <c r="BD316" s="147">
        <f t="shared" si="511"/>
        <v>0</v>
      </c>
      <c r="BQ316" s="463">
        <f t="shared" si="512"/>
        <v>3.8200000000000005E-2</v>
      </c>
      <c r="CG316" s="59">
        <f t="shared" si="513"/>
        <v>-50</v>
      </c>
      <c r="CH316">
        <f t="shared" si="514"/>
        <v>-50</v>
      </c>
    </row>
    <row r="317" spans="4:86" x14ac:dyDescent="0.25">
      <c r="E317" s="150"/>
      <c r="F317" s="191"/>
      <c r="G317" s="191"/>
      <c r="CG317" s="59"/>
    </row>
    <row r="318" spans="4:86" x14ac:dyDescent="0.25">
      <c r="CG318" s="59"/>
    </row>
    <row r="319" spans="4:86" x14ac:dyDescent="0.25">
      <c r="D319" s="59" t="s">
        <v>824</v>
      </c>
      <c r="CG319" s="59"/>
    </row>
    <row r="320" spans="4:86" x14ac:dyDescent="0.25">
      <c r="E320" s="59" t="s">
        <v>831</v>
      </c>
      <c r="CG320" s="59"/>
    </row>
    <row r="321" spans="4:85" x14ac:dyDescent="0.25">
      <c r="F321" s="59" t="s">
        <v>826</v>
      </c>
      <c r="G321" s="59" t="s">
        <v>825</v>
      </c>
      <c r="BB321" s="59" t="s">
        <v>827</v>
      </c>
      <c r="BC321" s="59" t="s">
        <v>829</v>
      </c>
      <c r="BD321" s="59" t="s">
        <v>830</v>
      </c>
      <c r="BF321" s="59" t="s">
        <v>828</v>
      </c>
      <c r="CG321" s="59"/>
    </row>
    <row r="322" spans="4:85" x14ac:dyDescent="0.25">
      <c r="F322">
        <f>'LM(2)518x PSR flyback converter'!E57</f>
        <v>5.0000000000000001E-3</v>
      </c>
      <c r="G322" s="649">
        <f>F322*Vout</f>
        <v>0.1</v>
      </c>
      <c r="BB322">
        <f>F322*Vout</f>
        <v>0.1</v>
      </c>
      <c r="BC322" s="648">
        <v>2.2000000000000001E-7</v>
      </c>
    </row>
    <row r="323" spans="4:85" x14ac:dyDescent="0.25">
      <c r="E323" t="s">
        <v>832</v>
      </c>
    </row>
    <row r="324" spans="4:85" x14ac:dyDescent="0.25">
      <c r="F324" t="s">
        <v>833</v>
      </c>
      <c r="G324" t="s">
        <v>834</v>
      </c>
      <c r="H324" t="s">
        <v>835</v>
      </c>
      <c r="I324" s="59" t="s">
        <v>676</v>
      </c>
    </row>
    <row r="325" spans="4:85" x14ac:dyDescent="0.25">
      <c r="F325" s="648">
        <v>1.9999999999999999E-7</v>
      </c>
      <c r="G325">
        <f>VIN_max</f>
        <v>21</v>
      </c>
      <c r="H325">
        <f>15000</f>
        <v>15000</v>
      </c>
      <c r="I325">
        <f>L*0.9</f>
        <v>1.35E-4</v>
      </c>
    </row>
    <row r="326" spans="4:85" x14ac:dyDescent="0.25">
      <c r="G326" s="59" t="s">
        <v>836</v>
      </c>
    </row>
    <row r="327" spans="4:85" x14ac:dyDescent="0.25">
      <c r="G327" s="649">
        <f>0.5*(G325/I325*F325)^2*H325*I325</f>
        <v>9.7999999999999997E-4</v>
      </c>
    </row>
    <row r="328" spans="4:85" x14ac:dyDescent="0.25">
      <c r="E328" s="59" t="s">
        <v>837</v>
      </c>
    </row>
    <row r="329" spans="4:85" x14ac:dyDescent="0.25">
      <c r="G329" t="str">
        <f>IF(G327&gt;G322, "Yes", "No")</f>
        <v>No</v>
      </c>
      <c r="H329">
        <f>(Vout*1.05)^2/(G327-G322)</f>
        <v>-4453.6457281357298</v>
      </c>
    </row>
    <row r="332" spans="4:85" x14ac:dyDescent="0.25">
      <c r="D332" s="59"/>
    </row>
    <row r="334" spans="4:85" x14ac:dyDescent="0.25">
      <c r="F334" s="317"/>
    </row>
    <row r="335" spans="4:85" x14ac:dyDescent="0.25">
      <c r="F335" s="317"/>
    </row>
    <row r="336" spans="4:85" x14ac:dyDescent="0.25">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3.2" x14ac:dyDescent="0.25"/>
  <cols>
    <col min="1" max="1" width="2.6640625" customWidth="1"/>
    <col min="2" max="2" width="3.5546875" customWidth="1"/>
    <col min="3" max="3" width="2.6640625" customWidth="1"/>
    <col min="4" max="4" width="3.6640625" customWidth="1"/>
    <col min="5" max="5" width="6.33203125" customWidth="1"/>
    <col min="6" max="6" width="9" customWidth="1"/>
    <col min="7" max="9" width="7.6640625" customWidth="1"/>
    <col min="10" max="10" width="6.33203125" customWidth="1"/>
    <col min="11" max="11" width="9.5546875" customWidth="1"/>
    <col min="12" max="12" width="9.33203125" customWidth="1"/>
    <col min="13" max="13" width="10.5546875" customWidth="1"/>
    <col min="14" max="14" width="8.44140625" customWidth="1"/>
    <col min="15" max="16" width="9.5546875" customWidth="1"/>
    <col min="17" max="18" width="8.6640625" customWidth="1"/>
    <col min="19" max="19" width="8.5546875" customWidth="1"/>
    <col min="20" max="20" width="7.5546875" customWidth="1"/>
    <col min="21" max="21" width="9" customWidth="1"/>
    <col min="22" max="22" width="8.6640625" customWidth="1"/>
    <col min="23" max="23" width="10" customWidth="1"/>
    <col min="24" max="24" width="9.5546875" customWidth="1"/>
    <col min="25" max="25" width="1.6640625" customWidth="1"/>
    <col min="26" max="26" width="9.6640625" customWidth="1"/>
    <col min="27" max="27" width="10.44140625" customWidth="1"/>
    <col min="28" max="28" width="10.33203125" customWidth="1"/>
    <col min="29" max="29" width="2" customWidth="1"/>
    <col min="30" max="30" width="9.33203125" customWidth="1"/>
    <col min="31" max="31" width="9.44140625" customWidth="1"/>
    <col min="32" max="32" width="10.44140625" customWidth="1"/>
    <col min="33" max="33" width="2.33203125" customWidth="1"/>
    <col min="35" max="35" width="8" customWidth="1"/>
    <col min="37" max="37" width="2.33203125" customWidth="1"/>
    <col min="38" max="38" width="6.5546875" customWidth="1"/>
    <col min="39" max="39" width="7.5546875" customWidth="1"/>
    <col min="40" max="40" width="2" customWidth="1"/>
    <col min="41" max="41" width="6.44140625" customWidth="1"/>
    <col min="42" max="42" width="7.5546875" customWidth="1"/>
    <col min="43" max="43" width="2.33203125" customWidth="1"/>
    <col min="44" max="46" width="7" customWidth="1"/>
    <col min="47" max="47" width="8.44140625" customWidth="1"/>
    <col min="48" max="48" width="2.33203125" customWidth="1"/>
    <col min="49" max="49" width="9.44140625" customWidth="1"/>
    <col min="50" max="50" width="12.5546875" customWidth="1"/>
    <col min="51" max="51" width="9.44140625" customWidth="1"/>
    <col min="52" max="52" width="12.6640625" customWidth="1"/>
    <col min="53" max="54" width="9.6640625" customWidth="1"/>
    <col min="55" max="55" width="2" customWidth="1"/>
    <col min="59" max="59" width="2.33203125" customWidth="1"/>
    <col min="60" max="60" width="9" customWidth="1"/>
    <col min="61" max="62" width="8.33203125" customWidth="1"/>
    <col min="63" max="63" width="8.6640625" customWidth="1"/>
    <col min="64" max="64" width="7.5546875" customWidth="1"/>
    <col min="65" max="65" width="8.5546875" customWidth="1"/>
    <col min="66" max="67" width="7.5546875" customWidth="1"/>
    <col min="68" max="69" width="10.33203125" customWidth="1"/>
    <col min="70" max="70" width="9.44140625" customWidth="1"/>
    <col min="71" max="71" width="9.5546875" customWidth="1"/>
    <col min="72" max="72" width="10" customWidth="1"/>
    <col min="73" max="73" width="8.6640625" customWidth="1"/>
    <col min="76" max="78" width="9.6640625" customWidth="1"/>
    <col min="79" max="79" width="12.33203125" customWidth="1"/>
    <col min="80" max="80" width="9.33203125" customWidth="1"/>
    <col min="82" max="82" width="7.6640625" customWidth="1"/>
    <col min="83" max="83" width="10.44140625" customWidth="1"/>
    <col min="84" max="84" width="12.44140625" bestFit="1" customWidth="1"/>
    <col min="85" max="85" width="6.5546875" customWidth="1"/>
    <col min="86" max="86" width="5" customWidth="1"/>
    <col min="87" max="87" width="9.5546875" customWidth="1"/>
  </cols>
  <sheetData>
    <row r="1" spans="2:88" x14ac:dyDescent="0.25">
      <c r="B1" s="162" t="s">
        <v>526</v>
      </c>
    </row>
    <row r="2" spans="2:88" ht="13.8" thickBot="1" x14ac:dyDescent="0.3">
      <c r="AW2">
        <f>Vout_ripple</f>
        <v>200</v>
      </c>
    </row>
    <row r="3" spans="2:88" x14ac:dyDescent="0.25">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3">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5">
      <c r="E5" s="150">
        <v>0.1</v>
      </c>
      <c r="F5" s="191">
        <v>1.0000000000000001E-9</v>
      </c>
      <c r="G5" s="191">
        <v>1.0000000000000001E-9</v>
      </c>
      <c r="H5" s="191">
        <f t="shared" ref="H5:H36" si="0">F5*Vout</f>
        <v>2E-8</v>
      </c>
      <c r="I5" s="191">
        <f>G5*Vout2</f>
        <v>1.6000000000000001E-8</v>
      </c>
      <c r="J5" s="472">
        <f t="shared" ref="J5:J68" si="1">Vin</f>
        <v>20</v>
      </c>
      <c r="K5" s="386">
        <f t="shared" ref="K5:K68" si="2">(S5+Vfwd1)*Nps</f>
        <v>20.32</v>
      </c>
      <c r="L5" s="386">
        <f t="shared" ref="L5:L68" si="3">(Vout+Vfwd1)*Nps+J5</f>
        <v>40.32</v>
      </c>
      <c r="M5" s="386"/>
      <c r="N5" s="191">
        <f t="shared" ref="N5:N68" si="4">(Vout+Vfwd1)*Nps/((Vout+Vfwd1)*Nps+J5)</f>
        <v>0.50396825396825395</v>
      </c>
      <c r="O5" s="152">
        <f>N5*J5*Isw_max*0.5*Efficiency*(Pout/Pout_total)</f>
        <v>3.4017857142857144</v>
      </c>
      <c r="P5" s="152">
        <f t="shared" ref="P5:P36" si="5">N5*J5*Isw_max*0.5*Efficiency*(Pout2/Pout_total)</f>
        <v>2.7214285714285715</v>
      </c>
      <c r="Q5" s="191">
        <f t="shared" ref="Q5:Q68" si="6">O5/Vout</f>
        <v>0.17008928571428572</v>
      </c>
      <c r="R5" s="191">
        <f t="shared" ref="R5:R36" si="7">O5/Vout2</f>
        <v>0.21261160714285715</v>
      </c>
      <c r="S5" s="386">
        <f t="shared" ref="S5:S36" si="8">MIN(Vout,O5/F5)</f>
        <v>20</v>
      </c>
      <c r="T5" s="191">
        <f t="shared" ref="T5:T36" si="9">MIN(2*(Vout*F5+Vout2*G5)/(Efficiency*J5*N5), Isw_max)</f>
        <v>7.93700787401575E-9</v>
      </c>
      <c r="U5" s="191">
        <f t="shared" ref="U5:U68" si="10">L*T5/J5*1000000</f>
        <v>5.9527559055118118E-8</v>
      </c>
      <c r="V5" s="191">
        <f t="shared" ref="V5:V68" si="11">L*T5/K5*1000000</f>
        <v>5.8590117180234375E-8</v>
      </c>
      <c r="W5" s="175">
        <f t="shared" ref="W5:W68" si="12">IF(1/((350000*L)*(1/J5+1/K5))&gt;Isw_min, 350, 0.001/((Isw_min*L)*(1/J5+1/K5)))</f>
        <v>350</v>
      </c>
      <c r="X5" s="386">
        <f>MIN(1/(U5+V5)*1000, 350)</f>
        <v>350</v>
      </c>
      <c r="Z5" s="191">
        <f t="shared" ref="Z5:Z68" si="13">1/((W5*1000*L)*(1/J5+1/K5))</f>
        <v>0.19198790627362058</v>
      </c>
      <c r="AA5" s="153">
        <f t="shared" ref="AA5:AA68" si="14">L*Z5/K5*1000000</f>
        <v>1.4172335600907029</v>
      </c>
      <c r="AB5" s="153">
        <f t="shared" ref="AB5:AB36" si="15">0.5*AA5*Z5*Nps*W5/1000*(Pout/Pout_total)</f>
        <v>4.7616048182941621E-2</v>
      </c>
      <c r="AC5" s="153"/>
      <c r="AD5" s="153">
        <f t="shared" ref="AD5:AD68" si="16">L*Isw_min/K5*1000000</f>
        <v>1.1072834645669289</v>
      </c>
      <c r="AE5" s="317">
        <f t="shared" ref="AE5:AE36" si="17">MAX(10, F5/(0.5*AD5/1000000*Isw_min*Nps)/1000*Pout_total/Pout)</f>
        <v>10</v>
      </c>
      <c r="AF5" s="463">
        <f t="shared" ref="AF5:AF36" si="18">0.5*AD5/1000000*Isw_min*Nps*W5*1000*(Pout/Pout_total)</f>
        <v>2.9066190944881887E-2</v>
      </c>
      <c r="AH5" s="153">
        <f t="shared" ref="AH5:AH36" si="19">SQRT((H5+I5)/(0.5*L*Fsw_DCM))</f>
        <v>3.7032803990902066E-5</v>
      </c>
      <c r="AI5" s="153">
        <f t="shared" ref="AI5:AI36" si="20">MAX(IF(F5&gt;AB5,T5,AH5),Isw_min)</f>
        <v>0.15</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1.1249999999999998</v>
      </c>
      <c r="AT5" s="5">
        <f>AR5-AS5</f>
        <v>98.875</v>
      </c>
      <c r="AU5" s="153">
        <f>AS5/AR5</f>
        <v>1.1249999999999998E-2</v>
      </c>
      <c r="AW5" s="5">
        <f t="shared" ref="AW5:AW36" si="26">L*Iout^2/(2*Vripple1_spec*Vout*Npri_sec1^2)*1000000000*((1+N5)/(1-N5))^2</f>
        <v>1.7236920000000002</v>
      </c>
      <c r="AX5" s="5">
        <f t="shared" ref="AX5:AX36" si="27">L*F5^2/(2*Cout*Vout*Nps^2)*1000000000*((1+N5)/(1-N5))^2+F5*RCoutEsr</f>
        <v>3.0000017236920005E-9</v>
      </c>
      <c r="AY5" s="5">
        <f t="shared" ref="AY5:AY36" si="28">L*Iout2^2/(2*Vripple2_spec*Vout2*Npri_sec2^2)*1000000000*((1+N5)/(1-N5))^2</f>
        <v>1.7372910952321905</v>
      </c>
      <c r="AZ5" s="5">
        <f t="shared" ref="AZ5:AZ36" si="29">L*G5^2/(2*Cout2*Vout2*Npri_sec2^2)*1000000000*((1+N5)/(1-N5))^2+G5*CoutEsr2</f>
        <v>2.0000012634844329E-9</v>
      </c>
      <c r="BA5" s="5">
        <f t="shared" ref="BA5:BA36" si="30">(H5+I5)/Efficiency/J5*AT5/Vinripple1</f>
        <v>1.9775000000000006E-7</v>
      </c>
      <c r="BB5" s="147">
        <f t="shared" ref="BB5:BB36" si="31">((CD5/J5/Efficiency)*AT5/Cin+(CD5/J5/Efficiency)*RCinEsr)*1000</f>
        <v>1.9780999999999999E-5</v>
      </c>
      <c r="BC5" s="5"/>
      <c r="BD5" s="153">
        <f>AI5*SQRT(AU5/3)</f>
        <v>9.1855865354369178E-3</v>
      </c>
      <c r="BE5" s="153">
        <f t="shared" ref="BE5:BE36" si="32">AI5*Npri_sec1*SQRT((1-AU5)/3)*(Pout/Pout_total)</f>
        <v>8.6114023248249169E-2</v>
      </c>
      <c r="BF5" s="153">
        <f t="shared" ref="BF5:BF36" si="33">AI5*Npri_sec2*SQRT((1-AU5)/3)*(Pout2/Pout_total)</f>
        <v>8.577632119629526E-2</v>
      </c>
      <c r="BG5" s="153"/>
      <c r="BH5" s="463">
        <f t="shared" ref="BH5:BH68" si="34">Rdson*BD5^2</f>
        <v>2.953125E-5</v>
      </c>
      <c r="BI5" s="463">
        <f t="shared" ref="BI5:BI68" si="35">0.5*L5*AI5*AM5*1000*Trise</f>
        <v>3.0240000000000003E-4</v>
      </c>
      <c r="BJ5" s="463">
        <f t="shared" ref="BJ5:BJ68" si="36">Qg*Vdd*AM5*1000</f>
        <v>1.25E-4</v>
      </c>
      <c r="BK5" s="463">
        <f t="shared" ref="BK5:BK68" si="37">0.5*(Coss+Csw)*L5^2*AM5*1000</f>
        <v>8.1285120000000014E-4</v>
      </c>
      <c r="BL5">
        <f t="shared" ref="BL5:BL68" si="38">J5*IQ</f>
        <v>5.7999999999999996E-3</v>
      </c>
      <c r="BM5">
        <f t="shared" ref="BM5:BM36" si="39">(J5-Vdd)*Qg*AM5</f>
        <v>3.7500000000000001E-7</v>
      </c>
      <c r="BN5">
        <f t="shared" ref="BN5:BN36" si="40">(BI5+BJ5+BK5+BL5+BM5+BH5*(1+RdsonTC*(Ta-25)))/(1-BH5*RdsonTC*ThetaJA)</f>
        <v>7.0741827125450438E-3</v>
      </c>
      <c r="BO5" s="147">
        <f>BN5*1000</f>
        <v>7.0741827125450438</v>
      </c>
      <c r="BP5" s="153">
        <f t="shared" ref="BP5:BP36" si="41">(Vfwd2*F5+BE5^2*Rdiode)*(1+Diode_TC/1000*(Ta-25))</f>
        <v>5.6655378819999999E-3</v>
      </c>
      <c r="BQ5" s="153">
        <f t="shared" ref="BQ5:BQ36" si="42">(Vfwd2*G5+BF5^2*Rdiode)*(1+Diode_TC/1000*(Ta-25))</f>
        <v>5.6211894223690897E-3</v>
      </c>
      <c r="BR5" s="463"/>
      <c r="BT5" s="147">
        <f>SUM(BP5:BS5)*1000</f>
        <v>11.286727304369089</v>
      </c>
      <c r="BU5" s="463">
        <f t="shared" ref="BU5:BU68" si="43">Rdcr_pri*BD5^2</f>
        <v>6.7500000000000001E-5</v>
      </c>
      <c r="BV5" s="463">
        <f>Rdcr_sec*BE5^2</f>
        <v>5.9028374999999991E-3</v>
      </c>
      <c r="BW5" s="463">
        <f t="shared" ref="BW5:BW36" si="44">Rdcr_sec2*BF5^2</f>
        <v>3.6787886389850056E-4</v>
      </c>
      <c r="BX5" s="463">
        <f t="shared" ref="BX5:BX68" si="45">AI5^2.5*AM5^2.5*k_core</f>
        <v>0</v>
      </c>
      <c r="BY5" s="463">
        <f t="shared" ref="BY5:BY36" si="46">(BX5+(BU5+BV5+BW5)*(1+Ltc*(Ta-25)))/(1-(BU5+BV5+BW5)*Ltc*ThetaCa)</f>
        <v>7.1024036532509631E-3</v>
      </c>
      <c r="BZ5" s="463">
        <f>SUM(BU5:BX5)</f>
        <v>6.3382163638984997E-3</v>
      </c>
      <c r="CA5" s="549">
        <f t="shared" ref="CA5:CA36" si="47">0.5*Lleak*0.000000001*AI5^2*AM5*1000</f>
        <v>3.3750000000000002E-4</v>
      </c>
      <c r="CB5" s="147">
        <f>(BY5+CA5)*1000</f>
        <v>7.4399036532509628</v>
      </c>
      <c r="CC5" s="153">
        <f>SUM(BN5,BP5:BS5,BY5, CA5)</f>
        <v>2.5800813670165099E-2</v>
      </c>
      <c r="CD5" s="5">
        <f>MIN(H5+I5,O5+P5)</f>
        <v>3.6000000000000005E-8</v>
      </c>
      <c r="CE5" s="153">
        <f>CD5/(CD5+CC5)</f>
        <v>1.395302885766151E-6</v>
      </c>
      <c r="CF5" s="5">
        <f>CE5*100</f>
        <v>1.3953028857661509E-4</v>
      </c>
      <c r="CG5">
        <v>0</v>
      </c>
      <c r="CI5" s="59">
        <f t="shared" ref="CI5:CI36" si="48">IF(ABS(F5-Ioutmax_Vinnom)&lt;Iout/200, AM5, -50)</f>
        <v>-50</v>
      </c>
      <c r="CJ5">
        <f t="shared" ref="CJ5:CJ36" si="49">IF(ABS(F5-Ioutmax_Vinnom)&lt;Iout/200, (O5+P5)*CE5, -50)</f>
        <v>-50</v>
      </c>
    </row>
    <row r="6" spans="2:88" x14ac:dyDescent="0.25">
      <c r="E6" s="150">
        <v>1</v>
      </c>
      <c r="F6" s="191">
        <f>IF(PLOT_TYPE=1, E6/100*Iout, min_I*EXP(O6*rr/100))</f>
        <v>1E-3</v>
      </c>
      <c r="G6" s="191">
        <f t="shared" ref="G6:G37" si="50">IF(PLOT_TYPE=1, E6/100*Iout2, min_I*EXP(Q6*rr/100))</f>
        <v>1E-3</v>
      </c>
      <c r="H6" s="191">
        <f t="shared" si="0"/>
        <v>0.02</v>
      </c>
      <c r="I6" s="191">
        <f>G6*Vout2</f>
        <v>1.6E-2</v>
      </c>
      <c r="J6" s="472">
        <f t="shared" si="1"/>
        <v>20</v>
      </c>
      <c r="K6" s="386">
        <f t="shared" si="2"/>
        <v>20.32</v>
      </c>
      <c r="L6" s="386">
        <f t="shared" si="3"/>
        <v>40.32</v>
      </c>
      <c r="M6" s="386"/>
      <c r="N6" s="191">
        <f t="shared" si="4"/>
        <v>0.50396825396825395</v>
      </c>
      <c r="O6" s="152">
        <f t="shared" ref="O6:O37" si="51">N6*J6*Isw_max*0.5*Efficiency*Pout/(Pout+Pout2)</f>
        <v>1.8898809523809523</v>
      </c>
      <c r="P6" s="152">
        <f t="shared" si="5"/>
        <v>2.7214285714285715</v>
      </c>
      <c r="Q6" s="191">
        <f t="shared" si="6"/>
        <v>9.4494047619047616E-2</v>
      </c>
      <c r="R6" s="191">
        <f t="shared" si="7"/>
        <v>0.11811755952380952</v>
      </c>
      <c r="S6" s="386">
        <f t="shared" si="8"/>
        <v>20</v>
      </c>
      <c r="T6" s="191">
        <f t="shared" si="9"/>
        <v>7.9370078740157498E-3</v>
      </c>
      <c r="U6" s="191">
        <f t="shared" si="10"/>
        <v>5.9527559055118119E-2</v>
      </c>
      <c r="V6" s="191">
        <f t="shared" si="11"/>
        <v>5.8590117180234366E-2</v>
      </c>
      <c r="W6" s="175">
        <f t="shared" si="12"/>
        <v>350</v>
      </c>
      <c r="X6" s="386">
        <f t="shared" ref="X6:X69" si="52">MIN(1/(U6+V6)*1000, 350)</f>
        <v>350</v>
      </c>
      <c r="Z6" s="191">
        <f t="shared" si="13"/>
        <v>0.19198790627362058</v>
      </c>
      <c r="AA6" s="153">
        <f t="shared" si="14"/>
        <v>1.4172335600907029</v>
      </c>
      <c r="AB6" s="153">
        <f t="shared" si="15"/>
        <v>4.7616048182941621E-2</v>
      </c>
      <c r="AC6" s="153"/>
      <c r="AD6" s="153">
        <f t="shared" si="16"/>
        <v>1.1072834645669289</v>
      </c>
      <c r="AE6" s="317">
        <f t="shared" si="17"/>
        <v>12.041481481481481</v>
      </c>
      <c r="AF6" s="463">
        <f t="shared" si="18"/>
        <v>2.9066190944881887E-2</v>
      </c>
      <c r="AH6" s="153">
        <f t="shared" si="19"/>
        <v>3.7032803990902065E-2</v>
      </c>
      <c r="AI6" s="153">
        <f t="shared" si="20"/>
        <v>0.15</v>
      </c>
      <c r="AJ6" s="153">
        <f t="shared" si="21"/>
        <v>1.0068808465608465</v>
      </c>
      <c r="AL6" s="317">
        <f t="shared" si="22"/>
        <v>1</v>
      </c>
      <c r="AM6" s="147">
        <f t="shared" si="23"/>
        <v>12.041481481481481</v>
      </c>
      <c r="AO6">
        <f t="shared" ref="AO6:AO69" si="53">IF(H6&gt;O6, "",AL6)</f>
        <v>1</v>
      </c>
      <c r="AP6" s="147">
        <f t="shared" si="24"/>
        <v>12.041481481481481</v>
      </c>
      <c r="AQ6" s="147"/>
      <c r="AR6" s="5">
        <f t="shared" ref="AR6:AR69" si="54">1/AM6*1000</f>
        <v>83.046259842519689</v>
      </c>
      <c r="AS6" s="5">
        <f t="shared" si="25"/>
        <v>1.1249999999999998</v>
      </c>
      <c r="AT6" s="5">
        <f t="shared" ref="AT6:AT69" si="55">AR6-AS6</f>
        <v>81.921259842519689</v>
      </c>
      <c r="AU6" s="153">
        <f t="shared" ref="AU6:AU69" si="56">AS6/AR6</f>
        <v>1.3546666666666663E-2</v>
      </c>
      <c r="AW6" s="5">
        <f t="shared" si="26"/>
        <v>1.7236920000000002</v>
      </c>
      <c r="AX6" s="5">
        <f t="shared" si="27"/>
        <v>4.7236919999999998E-3</v>
      </c>
      <c r="AY6" s="5">
        <f t="shared" si="28"/>
        <v>1.7372910952321905</v>
      </c>
      <c r="AZ6" s="5">
        <f t="shared" si="29"/>
        <v>3.2634844328961379E-3</v>
      </c>
      <c r="BA6" s="5">
        <f t="shared" si="30"/>
        <v>0.16384251968503938</v>
      </c>
      <c r="BB6" s="147">
        <f t="shared" si="31"/>
        <v>16.390251968503939</v>
      </c>
      <c r="BC6" s="5"/>
      <c r="BD6" s="153">
        <f t="shared" ref="BD6:BD69" si="57">AI6*SQRT(AU6/3)</f>
        <v>1.007968253468332E-2</v>
      </c>
      <c r="BE6" s="153">
        <f t="shared" si="32"/>
        <v>8.6013952356579923E-2</v>
      </c>
      <c r="BF6" s="153">
        <f t="shared" si="33"/>
        <v>8.5676642739495296E-2</v>
      </c>
      <c r="BG6" s="153"/>
      <c r="BH6" s="463">
        <f t="shared" si="34"/>
        <v>3.5559999999999978E-5</v>
      </c>
      <c r="BI6" s="463">
        <f t="shared" si="35"/>
        <v>3.6413440000000004E-4</v>
      </c>
      <c r="BJ6" s="463">
        <f t="shared" si="36"/>
        <v>1.5051851851851853E-4</v>
      </c>
      <c r="BK6" s="463">
        <f t="shared" si="37"/>
        <v>9.7879326720000034E-4</v>
      </c>
      <c r="BL6">
        <f t="shared" si="38"/>
        <v>5.7999999999999996E-3</v>
      </c>
      <c r="BM6">
        <f t="shared" si="39"/>
        <v>4.5155555555555554E-7</v>
      </c>
      <c r="BN6">
        <f t="shared" si="40"/>
        <v>7.3343064603385855E-3</v>
      </c>
      <c r="BO6" s="147">
        <f t="shared" ref="BO6:BO69" si="58">BN6*1000</f>
        <v>7.3343064603385857</v>
      </c>
      <c r="BP6" s="153">
        <f t="shared" si="41"/>
        <v>6.0343776000000024E-3</v>
      </c>
      <c r="BQ6" s="153">
        <f t="shared" si="42"/>
        <v>5.9901321528888904E-3</v>
      </c>
      <c r="BR6" s="463"/>
      <c r="BT6" s="147">
        <f t="shared" ref="BT6:BT69" si="59">SUM(BP6:BS6)*1000</f>
        <v>12.024509752888893</v>
      </c>
      <c r="BU6" s="463">
        <f t="shared" si="43"/>
        <v>8.1279999999999967E-5</v>
      </c>
      <c r="BV6" s="463">
        <f t="shared" ref="BV6:BV68" si="60">Rdcr_sec*BE6^2</f>
        <v>5.8891264000000016E-3</v>
      </c>
      <c r="BW6" s="463">
        <f t="shared" si="44"/>
        <v>3.6702435555555562E-4</v>
      </c>
      <c r="BX6" s="463">
        <f t="shared" si="45"/>
        <v>0</v>
      </c>
      <c r="BY6" s="463">
        <f t="shared" si="46"/>
        <v>7.101522878982588E-3</v>
      </c>
      <c r="BZ6" s="463">
        <f t="shared" ref="BZ6:BZ69" si="61">SUM(BU6:BX6)</f>
        <v>6.3374307555555572E-3</v>
      </c>
      <c r="CA6" s="549">
        <f t="shared" si="47"/>
        <v>4.0640000000000001E-4</v>
      </c>
      <c r="CB6" s="147">
        <f t="shared" ref="CB6:CB69" si="62">(BY6+CA6)*1000</f>
        <v>7.5079228789825887</v>
      </c>
      <c r="CC6" s="153">
        <f t="shared" ref="CC6:CC69" si="63">SUM(BN6,BP6:BS6,BY6, CA6)</f>
        <v>2.6866739092210067E-2</v>
      </c>
      <c r="CD6" s="5">
        <f t="shared" ref="CD6:CD69" si="64">MIN(H6+I6,O6+P6)</f>
        <v>3.6000000000000004E-2</v>
      </c>
      <c r="CE6" s="153">
        <f t="shared" ref="CE6:CE69" si="65">CD6/(CD6+CC6)</f>
        <v>0.57263984930404677</v>
      </c>
      <c r="CF6" s="5">
        <f t="shared" ref="CF6:CF69" si="66">CE6*100</f>
        <v>57.263984930404675</v>
      </c>
      <c r="CG6">
        <f t="shared" ref="CG6:CG37" si="67">F6/Iout*100</f>
        <v>1</v>
      </c>
      <c r="CI6" s="59">
        <f t="shared" si="48"/>
        <v>-50</v>
      </c>
      <c r="CJ6">
        <f t="shared" si="49"/>
        <v>-50</v>
      </c>
    </row>
    <row r="7" spans="2:88" x14ac:dyDescent="0.25">
      <c r="E7" s="150">
        <v>2</v>
      </c>
      <c r="F7" s="191">
        <f>IF(PLOT_TYPE=1, E7/100*Iout, min_I*EXP(O7*rr/100))</f>
        <v>2E-3</v>
      </c>
      <c r="G7" s="191">
        <f t="shared" si="50"/>
        <v>2E-3</v>
      </c>
      <c r="H7" s="191">
        <f t="shared" si="0"/>
        <v>0.04</v>
      </c>
      <c r="I7" s="191">
        <f>G7*Vout2</f>
        <v>3.2000000000000001E-2</v>
      </c>
      <c r="J7" s="472">
        <f t="shared" si="1"/>
        <v>20</v>
      </c>
      <c r="K7" s="386">
        <f t="shared" si="2"/>
        <v>20.32</v>
      </c>
      <c r="L7" s="386">
        <f t="shared" si="3"/>
        <v>40.32</v>
      </c>
      <c r="M7" s="386"/>
      <c r="N7" s="191">
        <f t="shared" si="4"/>
        <v>0.50396825396825395</v>
      </c>
      <c r="O7" s="152">
        <f t="shared" si="51"/>
        <v>1.8898809523809523</v>
      </c>
      <c r="P7" s="152">
        <f t="shared" si="5"/>
        <v>2.7214285714285715</v>
      </c>
      <c r="Q7" s="191">
        <f t="shared" si="6"/>
        <v>9.4494047619047616E-2</v>
      </c>
      <c r="R7" s="191">
        <f t="shared" si="7"/>
        <v>0.11811755952380952</v>
      </c>
      <c r="S7" s="386">
        <f t="shared" si="8"/>
        <v>20</v>
      </c>
      <c r="T7" s="191">
        <f t="shared" si="9"/>
        <v>1.58740157480315E-2</v>
      </c>
      <c r="U7" s="191">
        <f t="shared" si="10"/>
        <v>0.11905511811023624</v>
      </c>
      <c r="V7" s="191">
        <f t="shared" si="11"/>
        <v>0.11718023436046873</v>
      </c>
      <c r="W7" s="175">
        <f t="shared" si="12"/>
        <v>350</v>
      </c>
      <c r="X7" s="386">
        <f t="shared" si="52"/>
        <v>350</v>
      </c>
      <c r="Z7" s="191">
        <f t="shared" si="13"/>
        <v>0.19198790627362058</v>
      </c>
      <c r="AA7" s="153">
        <f t="shared" si="14"/>
        <v>1.4172335600907029</v>
      </c>
      <c r="AB7" s="153">
        <f t="shared" si="15"/>
        <v>4.7616048182941621E-2</v>
      </c>
      <c r="AC7" s="153"/>
      <c r="AD7" s="153">
        <f t="shared" si="16"/>
        <v>1.1072834645669289</v>
      </c>
      <c r="AE7" s="317">
        <f t="shared" si="17"/>
        <v>24.082962962962963</v>
      </c>
      <c r="AF7" s="463">
        <f t="shared" si="18"/>
        <v>2.9066190944881887E-2</v>
      </c>
      <c r="AH7" s="153">
        <f t="shared" si="19"/>
        <v>5.2372293656638182E-2</v>
      </c>
      <c r="AI7" s="153">
        <f t="shared" si="20"/>
        <v>0.15</v>
      </c>
      <c r="AJ7" s="153">
        <f t="shared" si="21"/>
        <v>1.0137616931216931</v>
      </c>
      <c r="AL7" s="317">
        <f t="shared" si="22"/>
        <v>2</v>
      </c>
      <c r="AM7" s="147">
        <f t="shared" si="23"/>
        <v>24.082962962962963</v>
      </c>
      <c r="AO7">
        <f t="shared" si="53"/>
        <v>2</v>
      </c>
      <c r="AP7" s="147">
        <f t="shared" si="24"/>
        <v>24.082962962962963</v>
      </c>
      <c r="AQ7" s="147"/>
      <c r="AR7" s="5">
        <f t="shared" si="54"/>
        <v>41.523129921259844</v>
      </c>
      <c r="AS7" s="5">
        <f t="shared" si="25"/>
        <v>1.1249999999999998</v>
      </c>
      <c r="AT7" s="5">
        <f t="shared" si="55"/>
        <v>40.398129921259844</v>
      </c>
      <c r="AU7" s="153">
        <f t="shared" si="56"/>
        <v>2.7093333333333327E-2</v>
      </c>
      <c r="AW7" s="5">
        <f t="shared" si="26"/>
        <v>1.7236920000000002</v>
      </c>
      <c r="AX7" s="5">
        <f t="shared" si="27"/>
        <v>1.2894767999999997E-2</v>
      </c>
      <c r="AY7" s="5">
        <f t="shared" si="28"/>
        <v>1.7372910952321905</v>
      </c>
      <c r="AZ7" s="5">
        <f t="shared" si="29"/>
        <v>9.0539377315845514E-3</v>
      </c>
      <c r="BA7" s="5">
        <f t="shared" si="30"/>
        <v>0.16159251968503938</v>
      </c>
      <c r="BB7" s="147">
        <f t="shared" si="31"/>
        <v>16.171251968503938</v>
      </c>
      <c r="BC7" s="5"/>
      <c r="BD7" s="153">
        <f t="shared" si="57"/>
        <v>1.4254823744964368E-2</v>
      </c>
      <c r="BE7" s="153">
        <f t="shared" si="32"/>
        <v>8.5421308816945665E-2</v>
      </c>
      <c r="BF7" s="153">
        <f t="shared" si="33"/>
        <v>8.5086323292173346E-2</v>
      </c>
      <c r="BG7" s="153"/>
      <c r="BH7" s="463">
        <f t="shared" si="34"/>
        <v>7.1119999999999983E-5</v>
      </c>
      <c r="BI7" s="463">
        <f t="shared" si="35"/>
        <v>7.2826880000000007E-4</v>
      </c>
      <c r="BJ7" s="463">
        <f t="shared" si="36"/>
        <v>3.0103703703703705E-4</v>
      </c>
      <c r="BK7" s="463">
        <f t="shared" si="37"/>
        <v>1.9575865344000007E-3</v>
      </c>
      <c r="BL7">
        <f t="shared" si="38"/>
        <v>5.7999999999999996E-3</v>
      </c>
      <c r="BM7">
        <f t="shared" si="39"/>
        <v>9.0311111111111108E-7</v>
      </c>
      <c r="BN7">
        <f t="shared" si="40"/>
        <v>8.8686330535583703E-3</v>
      </c>
      <c r="BO7" s="147">
        <f t="shared" si="58"/>
        <v>8.8686330535583711</v>
      </c>
      <c r="BP7" s="153">
        <f t="shared" si="41"/>
        <v>6.3387551999999998E-3</v>
      </c>
      <c r="BQ7" s="153">
        <f t="shared" si="42"/>
        <v>6.2951173622945054E-3</v>
      </c>
      <c r="BR7" s="463"/>
      <c r="BT7" s="147">
        <f t="shared" si="59"/>
        <v>12.633872562294505</v>
      </c>
      <c r="BU7" s="463">
        <f t="shared" si="43"/>
        <v>1.6255999999999996E-4</v>
      </c>
      <c r="BV7" s="463">
        <f t="shared" si="60"/>
        <v>5.8082527999999993E-3</v>
      </c>
      <c r="BW7" s="463">
        <f t="shared" si="44"/>
        <v>3.6198412056901206E-4</v>
      </c>
      <c r="BX7" s="463">
        <f t="shared" si="45"/>
        <v>0</v>
      </c>
      <c r="BY7" s="463">
        <f t="shared" si="46"/>
        <v>7.0963277192235058E-3</v>
      </c>
      <c r="BZ7" s="463">
        <f t="shared" si="61"/>
        <v>6.3327969205690116E-3</v>
      </c>
      <c r="CA7" s="549">
        <f t="shared" si="47"/>
        <v>8.1280000000000002E-4</v>
      </c>
      <c r="CB7" s="147">
        <f t="shared" si="62"/>
        <v>7.9091277192235054</v>
      </c>
      <c r="CC7" s="153">
        <f t="shared" si="63"/>
        <v>2.9411633335076383E-2</v>
      </c>
      <c r="CD7" s="5">
        <f t="shared" si="64"/>
        <v>7.2000000000000008E-2</v>
      </c>
      <c r="CE7" s="153">
        <f t="shared" si="65"/>
        <v>0.70997771786303099</v>
      </c>
      <c r="CF7" s="5">
        <f t="shared" si="66"/>
        <v>70.997771786303105</v>
      </c>
      <c r="CG7">
        <f t="shared" si="67"/>
        <v>2</v>
      </c>
      <c r="CI7" s="59">
        <f t="shared" si="48"/>
        <v>-50</v>
      </c>
      <c r="CJ7">
        <f t="shared" si="49"/>
        <v>-50</v>
      </c>
    </row>
    <row r="8" spans="2:88" x14ac:dyDescent="0.25">
      <c r="E8" s="150">
        <v>3</v>
      </c>
      <c r="F8" s="191">
        <f t="shared" ref="F8:F39" si="68">IF(PLOT_TYPE=1, E8/100*Iout_max, min_I*EXP(O8*rr/100))</f>
        <v>3.0000000000000001E-3</v>
      </c>
      <c r="G8" s="191">
        <f t="shared" si="50"/>
        <v>3.0000000000000001E-3</v>
      </c>
      <c r="H8" s="191">
        <f t="shared" si="0"/>
        <v>0.06</v>
      </c>
      <c r="I8" s="191">
        <f t="shared" ref="I8:I39" si="69">Vout2*G8</f>
        <v>4.8000000000000001E-2</v>
      </c>
      <c r="J8" s="472">
        <f t="shared" si="1"/>
        <v>20</v>
      </c>
      <c r="K8" s="386">
        <f t="shared" si="2"/>
        <v>20.32</v>
      </c>
      <c r="L8" s="386">
        <f t="shared" si="3"/>
        <v>40.32</v>
      </c>
      <c r="M8" s="386"/>
      <c r="N8" s="191">
        <f t="shared" si="4"/>
        <v>0.50396825396825395</v>
      </c>
      <c r="O8" s="152">
        <f t="shared" si="51"/>
        <v>1.8898809523809523</v>
      </c>
      <c r="P8" s="152">
        <f t="shared" si="5"/>
        <v>2.7214285714285715</v>
      </c>
      <c r="Q8" s="191">
        <f t="shared" si="6"/>
        <v>9.4494047619047616E-2</v>
      </c>
      <c r="R8" s="191">
        <f t="shared" si="7"/>
        <v>0.11811755952380952</v>
      </c>
      <c r="S8" s="386">
        <f t="shared" si="8"/>
        <v>20</v>
      </c>
      <c r="T8" s="191">
        <f t="shared" si="9"/>
        <v>2.3811023622047244E-2</v>
      </c>
      <c r="U8" s="191">
        <f t="shared" si="10"/>
        <v>0.17858267716535434</v>
      </c>
      <c r="V8" s="191">
        <f t="shared" si="11"/>
        <v>0.17577035154070308</v>
      </c>
      <c r="W8" s="175">
        <f t="shared" si="12"/>
        <v>350</v>
      </c>
      <c r="X8" s="386">
        <f t="shared" si="52"/>
        <v>350</v>
      </c>
      <c r="Z8" s="191">
        <f t="shared" si="13"/>
        <v>0.19198790627362058</v>
      </c>
      <c r="AA8" s="153">
        <f t="shared" si="14"/>
        <v>1.4172335600907029</v>
      </c>
      <c r="AB8" s="153">
        <f t="shared" si="15"/>
        <v>4.7616048182941621E-2</v>
      </c>
      <c r="AC8" s="153"/>
      <c r="AD8" s="153">
        <f t="shared" si="16"/>
        <v>1.1072834645669289</v>
      </c>
      <c r="AE8" s="317">
        <f t="shared" si="17"/>
        <v>36.124444444444443</v>
      </c>
      <c r="AF8" s="463">
        <f t="shared" si="18"/>
        <v>2.9066190944881887E-2</v>
      </c>
      <c r="AH8" s="153">
        <f t="shared" si="19"/>
        <v>6.4142698058981859E-2</v>
      </c>
      <c r="AI8" s="153">
        <f t="shared" si="20"/>
        <v>0.15</v>
      </c>
      <c r="AJ8" s="153">
        <f t="shared" si="21"/>
        <v>1.0206425396825396</v>
      </c>
      <c r="AL8" s="317">
        <f t="shared" si="22"/>
        <v>3</v>
      </c>
      <c r="AM8" s="147">
        <f t="shared" si="23"/>
        <v>36.124444444444443</v>
      </c>
      <c r="AO8">
        <f t="shared" si="53"/>
        <v>3</v>
      </c>
      <c r="AP8" s="147">
        <f t="shared" si="24"/>
        <v>36.124444444444443</v>
      </c>
      <c r="AQ8" s="147"/>
      <c r="AR8" s="5">
        <f t="shared" si="54"/>
        <v>27.68208661417323</v>
      </c>
      <c r="AS8" s="5">
        <f t="shared" si="25"/>
        <v>1.1249999999999998</v>
      </c>
      <c r="AT8" s="5">
        <f t="shared" si="55"/>
        <v>26.55708661417323</v>
      </c>
      <c r="AU8" s="153">
        <f t="shared" si="56"/>
        <v>4.0639999999999989E-2</v>
      </c>
      <c r="AW8" s="5">
        <f t="shared" si="26"/>
        <v>1.7236920000000002</v>
      </c>
      <c r="AX8" s="5">
        <f t="shared" si="27"/>
        <v>2.4513227999999998E-2</v>
      </c>
      <c r="AY8" s="5">
        <f t="shared" si="28"/>
        <v>1.7372910952321905</v>
      </c>
      <c r="AZ8" s="5">
        <f t="shared" si="29"/>
        <v>1.7371359896065246E-2</v>
      </c>
      <c r="BA8" s="5">
        <f t="shared" si="30"/>
        <v>0.15934251968503937</v>
      </c>
      <c r="BB8" s="147">
        <f t="shared" si="31"/>
        <v>15.952251968503937</v>
      </c>
      <c r="BC8" s="5"/>
      <c r="BD8" s="153">
        <f t="shared" si="57"/>
        <v>1.7458522274236155E-2</v>
      </c>
      <c r="BE8" s="153">
        <f t="shared" si="32"/>
        <v>8.4824524755521033E-2</v>
      </c>
      <c r="BF8" s="153">
        <f t="shared" si="33"/>
        <v>8.4491879560401342E-2</v>
      </c>
      <c r="BG8" s="153"/>
      <c r="BH8" s="463">
        <f t="shared" si="34"/>
        <v>1.0667999999999999E-4</v>
      </c>
      <c r="BI8" s="463">
        <f t="shared" si="35"/>
        <v>1.0924031999999999E-3</v>
      </c>
      <c r="BJ8" s="463">
        <f t="shared" si="36"/>
        <v>4.5155555555555547E-4</v>
      </c>
      <c r="BK8" s="463">
        <f t="shared" si="37"/>
        <v>2.9363798016000002E-3</v>
      </c>
      <c r="BL8">
        <f t="shared" si="38"/>
        <v>5.7999999999999996E-3</v>
      </c>
      <c r="BM8">
        <f t="shared" si="39"/>
        <v>1.3546666666666665E-6</v>
      </c>
      <c r="BN8">
        <f t="shared" si="40"/>
        <v>1.0402979780055622E-2</v>
      </c>
      <c r="BO8" s="147">
        <f t="shared" si="58"/>
        <v>10.402979780055622</v>
      </c>
      <c r="BP8" s="153">
        <f t="shared" si="41"/>
        <v>6.6431328000000006E-3</v>
      </c>
      <c r="BQ8" s="153">
        <f t="shared" si="42"/>
        <v>6.600102571700117E-3</v>
      </c>
      <c r="BR8" s="463"/>
      <c r="BT8" s="147">
        <f t="shared" si="59"/>
        <v>13.243235371700118</v>
      </c>
      <c r="BU8" s="463">
        <f t="shared" si="43"/>
        <v>2.4384E-4</v>
      </c>
      <c r="BV8" s="463">
        <f t="shared" si="60"/>
        <v>5.7273792000000004E-3</v>
      </c>
      <c r="BW8" s="463">
        <f t="shared" si="44"/>
        <v>3.5694388558246833E-4</v>
      </c>
      <c r="BX8" s="463">
        <f t="shared" si="45"/>
        <v>0</v>
      </c>
      <c r="BY8" s="463">
        <f t="shared" si="46"/>
        <v>7.0911325633181395E-3</v>
      </c>
      <c r="BZ8" s="463">
        <f t="shared" si="61"/>
        <v>6.3281630855824694E-3</v>
      </c>
      <c r="CA8" s="549">
        <f t="shared" si="47"/>
        <v>1.2191999999999999E-3</v>
      </c>
      <c r="CB8" s="147">
        <f t="shared" si="62"/>
        <v>8.3103325633181395</v>
      </c>
      <c r="CC8" s="153">
        <f t="shared" si="63"/>
        <v>3.1956547715073877E-2</v>
      </c>
      <c r="CD8" s="5">
        <f t="shared" si="64"/>
        <v>0.108</v>
      </c>
      <c r="CE8" s="153">
        <f t="shared" si="65"/>
        <v>0.77166807672241522</v>
      </c>
      <c r="CF8" s="5">
        <f t="shared" si="66"/>
        <v>77.166807672241518</v>
      </c>
      <c r="CG8">
        <f t="shared" si="67"/>
        <v>3</v>
      </c>
      <c r="CI8" s="59">
        <f t="shared" si="48"/>
        <v>-50</v>
      </c>
      <c r="CJ8">
        <f t="shared" si="49"/>
        <v>-50</v>
      </c>
    </row>
    <row r="9" spans="2:88" x14ac:dyDescent="0.25">
      <c r="E9" s="150">
        <v>4</v>
      </c>
      <c r="F9" s="191">
        <f t="shared" si="68"/>
        <v>4.0000000000000001E-3</v>
      </c>
      <c r="G9" s="191">
        <f t="shared" si="50"/>
        <v>4.0000000000000001E-3</v>
      </c>
      <c r="H9" s="191">
        <f t="shared" si="0"/>
        <v>0.08</v>
      </c>
      <c r="I9" s="191">
        <f t="shared" si="69"/>
        <v>6.4000000000000001E-2</v>
      </c>
      <c r="J9" s="472">
        <f t="shared" si="1"/>
        <v>20</v>
      </c>
      <c r="K9" s="386">
        <f t="shared" si="2"/>
        <v>20.32</v>
      </c>
      <c r="L9" s="386">
        <f t="shared" si="3"/>
        <v>40.32</v>
      </c>
      <c r="M9" s="386"/>
      <c r="N9" s="191">
        <f t="shared" si="4"/>
        <v>0.50396825396825395</v>
      </c>
      <c r="O9" s="152">
        <f t="shared" si="51"/>
        <v>1.8898809523809523</v>
      </c>
      <c r="P9" s="152">
        <f t="shared" si="5"/>
        <v>2.7214285714285715</v>
      </c>
      <c r="Q9" s="191">
        <f t="shared" si="6"/>
        <v>9.4494047619047616E-2</v>
      </c>
      <c r="R9" s="191">
        <f t="shared" si="7"/>
        <v>0.11811755952380952</v>
      </c>
      <c r="S9" s="386">
        <f t="shared" si="8"/>
        <v>20</v>
      </c>
      <c r="T9" s="191">
        <f t="shared" si="9"/>
        <v>3.1748031496062999E-2</v>
      </c>
      <c r="U9" s="191">
        <f t="shared" si="10"/>
        <v>0.23811023622047248</v>
      </c>
      <c r="V9" s="191">
        <f t="shared" si="11"/>
        <v>0.23436046872093746</v>
      </c>
      <c r="W9" s="175">
        <f t="shared" si="12"/>
        <v>350</v>
      </c>
      <c r="X9" s="386">
        <f t="shared" si="52"/>
        <v>350</v>
      </c>
      <c r="Z9" s="191">
        <f t="shared" si="13"/>
        <v>0.19198790627362058</v>
      </c>
      <c r="AA9" s="153">
        <f t="shared" si="14"/>
        <v>1.4172335600907029</v>
      </c>
      <c r="AB9" s="153">
        <f t="shared" si="15"/>
        <v>4.7616048182941621E-2</v>
      </c>
      <c r="AC9" s="153"/>
      <c r="AD9" s="153">
        <f t="shared" si="16"/>
        <v>1.1072834645669289</v>
      </c>
      <c r="AE9" s="317">
        <f t="shared" si="17"/>
        <v>48.165925925925926</v>
      </c>
      <c r="AF9" s="463">
        <f t="shared" si="18"/>
        <v>2.9066190944881887E-2</v>
      </c>
      <c r="AH9" s="153">
        <f t="shared" si="19"/>
        <v>7.406560798180413E-2</v>
      </c>
      <c r="AI9" s="153">
        <f t="shared" si="20"/>
        <v>0.15</v>
      </c>
      <c r="AJ9" s="153">
        <f t="shared" si="21"/>
        <v>1.0275233862433863</v>
      </c>
      <c r="AL9" s="317">
        <f t="shared" si="22"/>
        <v>4</v>
      </c>
      <c r="AM9" s="147">
        <f t="shared" si="23"/>
        <v>48.165925925925926</v>
      </c>
      <c r="AO9">
        <f t="shared" si="53"/>
        <v>4</v>
      </c>
      <c r="AP9" s="147">
        <f t="shared" si="24"/>
        <v>48.165925925925926</v>
      </c>
      <c r="AQ9" s="147"/>
      <c r="AR9" s="5">
        <f t="shared" si="54"/>
        <v>20.761564960629922</v>
      </c>
      <c r="AS9" s="5">
        <f t="shared" si="25"/>
        <v>1.1249999999999998</v>
      </c>
      <c r="AT9" s="5">
        <f t="shared" si="55"/>
        <v>19.636564960629922</v>
      </c>
      <c r="AU9" s="153">
        <f t="shared" si="56"/>
        <v>5.4186666666666654E-2</v>
      </c>
      <c r="AW9" s="5">
        <f t="shared" si="26"/>
        <v>1.7236920000000002</v>
      </c>
      <c r="AX9" s="5">
        <f t="shared" si="27"/>
        <v>3.9579071999999993E-2</v>
      </c>
      <c r="AY9" s="5">
        <f t="shared" si="28"/>
        <v>1.7372910952321905</v>
      </c>
      <c r="AZ9" s="5">
        <f t="shared" si="29"/>
        <v>2.8215750926338209E-2</v>
      </c>
      <c r="BA9" s="5">
        <f t="shared" si="30"/>
        <v>0.15709251968503937</v>
      </c>
      <c r="BB9" s="147">
        <f t="shared" si="31"/>
        <v>15.733251968503938</v>
      </c>
      <c r="BC9" s="5"/>
      <c r="BD9" s="153">
        <f t="shared" si="57"/>
        <v>2.0159365069366639E-2</v>
      </c>
      <c r="BE9" s="153">
        <f t="shared" si="32"/>
        <v>8.4223512156641867E-2</v>
      </c>
      <c r="BF9" s="153">
        <f t="shared" si="33"/>
        <v>8.3893223873674649E-2</v>
      </c>
      <c r="BG9" s="153"/>
      <c r="BH9" s="463">
        <f t="shared" si="34"/>
        <v>1.4223999999999991E-4</v>
      </c>
      <c r="BI9" s="463">
        <f t="shared" si="35"/>
        <v>1.4565376000000001E-3</v>
      </c>
      <c r="BJ9" s="463">
        <f t="shared" si="36"/>
        <v>6.020740740740741E-4</v>
      </c>
      <c r="BK9" s="463">
        <f t="shared" si="37"/>
        <v>3.9151730688000014E-3</v>
      </c>
      <c r="BL9">
        <f t="shared" si="38"/>
        <v>5.7999999999999996E-3</v>
      </c>
      <c r="BM9">
        <f t="shared" si="39"/>
        <v>1.8062222222222222E-6</v>
      </c>
      <c r="BN9">
        <f t="shared" si="40"/>
        <v>1.1937346640226634E-2</v>
      </c>
      <c r="BO9" s="147">
        <f t="shared" si="58"/>
        <v>11.937346640226634</v>
      </c>
      <c r="BP9" s="153">
        <f t="shared" si="41"/>
        <v>6.9475104000000006E-3</v>
      </c>
      <c r="BQ9" s="153">
        <f t="shared" si="42"/>
        <v>6.9050877811057303E-3</v>
      </c>
      <c r="BR9" s="463"/>
      <c r="BT9" s="147">
        <f t="shared" si="59"/>
        <v>13.852598181105732</v>
      </c>
      <c r="BU9" s="463">
        <f t="shared" si="43"/>
        <v>3.2511999999999987E-4</v>
      </c>
      <c r="BV9" s="463">
        <f t="shared" si="60"/>
        <v>5.6465056000000007E-3</v>
      </c>
      <c r="BW9" s="463">
        <f t="shared" si="44"/>
        <v>3.5190365059592477E-4</v>
      </c>
      <c r="BX9" s="463">
        <f t="shared" si="45"/>
        <v>0</v>
      </c>
      <c r="BY9" s="463">
        <f t="shared" si="46"/>
        <v>7.0859374112664797E-3</v>
      </c>
      <c r="BZ9" s="463">
        <f t="shared" si="61"/>
        <v>6.3235292505959256E-3</v>
      </c>
      <c r="CA9" s="549">
        <f t="shared" si="47"/>
        <v>1.6256E-3</v>
      </c>
      <c r="CB9" s="147">
        <f t="shared" si="62"/>
        <v>8.7115374112664785</v>
      </c>
      <c r="CC9" s="153">
        <f t="shared" si="63"/>
        <v>3.4501482232598836E-2</v>
      </c>
      <c r="CD9" s="5">
        <f t="shared" si="64"/>
        <v>0.14400000000000002</v>
      </c>
      <c r="CE9" s="153">
        <f t="shared" si="65"/>
        <v>0.80671599024796226</v>
      </c>
      <c r="CF9" s="5">
        <f t="shared" si="66"/>
        <v>80.671599024796222</v>
      </c>
      <c r="CG9">
        <f t="shared" si="67"/>
        <v>4</v>
      </c>
      <c r="CI9" s="59">
        <f t="shared" si="48"/>
        <v>-50</v>
      </c>
      <c r="CJ9">
        <f t="shared" si="49"/>
        <v>-50</v>
      </c>
    </row>
    <row r="10" spans="2:88" x14ac:dyDescent="0.25">
      <c r="E10" s="150">
        <v>5</v>
      </c>
      <c r="F10" s="191">
        <f t="shared" si="68"/>
        <v>5.000000000000001E-3</v>
      </c>
      <c r="G10" s="191">
        <f t="shared" si="50"/>
        <v>5.000000000000001E-3</v>
      </c>
      <c r="H10" s="191">
        <f t="shared" si="0"/>
        <v>0.10000000000000002</v>
      </c>
      <c r="I10" s="191">
        <f t="shared" si="69"/>
        <v>8.0000000000000016E-2</v>
      </c>
      <c r="J10" s="472">
        <f t="shared" si="1"/>
        <v>20</v>
      </c>
      <c r="K10" s="386">
        <f t="shared" si="2"/>
        <v>20.32</v>
      </c>
      <c r="L10" s="386">
        <f t="shared" si="3"/>
        <v>40.32</v>
      </c>
      <c r="M10" s="386"/>
      <c r="N10" s="191">
        <f t="shared" si="4"/>
        <v>0.50396825396825395</v>
      </c>
      <c r="O10" s="152">
        <f t="shared" si="51"/>
        <v>1.8898809523809523</v>
      </c>
      <c r="P10" s="152">
        <f t="shared" si="5"/>
        <v>2.7214285714285715</v>
      </c>
      <c r="Q10" s="191">
        <f t="shared" si="6"/>
        <v>9.4494047619047616E-2</v>
      </c>
      <c r="R10" s="191">
        <f t="shared" si="7"/>
        <v>0.11811755952380952</v>
      </c>
      <c r="S10" s="386">
        <f t="shared" si="8"/>
        <v>20</v>
      </c>
      <c r="T10" s="191">
        <f t="shared" si="9"/>
        <v>3.9685039370078751E-2</v>
      </c>
      <c r="U10" s="191">
        <f t="shared" si="10"/>
        <v>0.29763779527559064</v>
      </c>
      <c r="V10" s="191">
        <f t="shared" si="11"/>
        <v>0.2929505859011719</v>
      </c>
      <c r="W10" s="175">
        <f t="shared" si="12"/>
        <v>350</v>
      </c>
      <c r="X10" s="386">
        <f t="shared" si="52"/>
        <v>350</v>
      </c>
      <c r="Z10" s="191">
        <f t="shared" si="13"/>
        <v>0.19198790627362058</v>
      </c>
      <c r="AA10" s="153">
        <f t="shared" si="14"/>
        <v>1.4172335600907029</v>
      </c>
      <c r="AB10" s="153">
        <f t="shared" si="15"/>
        <v>4.7616048182941621E-2</v>
      </c>
      <c r="AC10" s="153"/>
      <c r="AD10" s="153">
        <f t="shared" si="16"/>
        <v>1.1072834645669289</v>
      </c>
      <c r="AE10" s="317">
        <f t="shared" si="17"/>
        <v>60.207407407407423</v>
      </c>
      <c r="AF10" s="463">
        <f t="shared" si="18"/>
        <v>2.9066190944881887E-2</v>
      </c>
      <c r="AH10" s="153">
        <f t="shared" si="19"/>
        <v>8.2807867121082526E-2</v>
      </c>
      <c r="AI10" s="153">
        <f t="shared" si="20"/>
        <v>0.15</v>
      </c>
      <c r="AJ10" s="153">
        <f t="shared" si="21"/>
        <v>1.0344042328042329</v>
      </c>
      <c r="AL10" s="317">
        <f t="shared" si="22"/>
        <v>5.0000000000000009</v>
      </c>
      <c r="AM10" s="147">
        <f t="shared" si="23"/>
        <v>60.207407407407423</v>
      </c>
      <c r="AO10">
        <f t="shared" si="53"/>
        <v>5.0000000000000009</v>
      </c>
      <c r="AP10" s="147">
        <f t="shared" si="24"/>
        <v>60.207407407407423</v>
      </c>
      <c r="AQ10" s="147"/>
      <c r="AR10" s="5">
        <f t="shared" si="54"/>
        <v>16.609251968503933</v>
      </c>
      <c r="AS10" s="5">
        <f t="shared" si="25"/>
        <v>1.1249999999999998</v>
      </c>
      <c r="AT10" s="5">
        <f t="shared" si="55"/>
        <v>15.484251968503933</v>
      </c>
      <c r="AU10" s="153">
        <f t="shared" si="56"/>
        <v>6.773333333333334E-2</v>
      </c>
      <c r="AW10" s="5">
        <f t="shared" si="26"/>
        <v>1.7236920000000002</v>
      </c>
      <c r="AX10" s="5">
        <f t="shared" si="27"/>
        <v>5.8092300000000013E-2</v>
      </c>
      <c r="AY10" s="5">
        <f t="shared" si="28"/>
        <v>1.7372910952321905</v>
      </c>
      <c r="AZ10" s="5">
        <f t="shared" si="29"/>
        <v>4.1587110822403468E-2</v>
      </c>
      <c r="BA10" s="5">
        <f t="shared" si="30"/>
        <v>0.15484251968503937</v>
      </c>
      <c r="BB10" s="147">
        <f t="shared" si="31"/>
        <v>15.51425196850394</v>
      </c>
      <c r="BC10" s="5"/>
      <c r="BD10" s="153">
        <f t="shared" si="57"/>
        <v>2.253885533916929E-2</v>
      </c>
      <c r="BE10" s="153">
        <f t="shared" si="32"/>
        <v>8.361817984146748E-2</v>
      </c>
      <c r="BF10" s="153">
        <f t="shared" si="33"/>
        <v>8.3290265410716643E-2</v>
      </c>
      <c r="BG10" s="153"/>
      <c r="BH10" s="463">
        <f t="shared" si="34"/>
        <v>1.7779999999999998E-4</v>
      </c>
      <c r="BI10" s="463">
        <f t="shared" si="35"/>
        <v>1.8206720000000004E-3</v>
      </c>
      <c r="BJ10" s="463">
        <f t="shared" si="36"/>
        <v>7.5259259259259279E-4</v>
      </c>
      <c r="BK10" s="463">
        <f t="shared" si="37"/>
        <v>4.8939663360000026E-3</v>
      </c>
      <c r="BL10">
        <f t="shared" si="38"/>
        <v>5.7999999999999996E-3</v>
      </c>
      <c r="BM10">
        <f t="shared" si="39"/>
        <v>2.2577777777777782E-6</v>
      </c>
      <c r="BN10">
        <f t="shared" si="40"/>
        <v>1.3471733634467692E-2</v>
      </c>
      <c r="BO10" s="147">
        <f t="shared" si="58"/>
        <v>13.471733634467691</v>
      </c>
      <c r="BP10" s="153">
        <f t="shared" si="41"/>
        <v>7.2518880000000006E-3</v>
      </c>
      <c r="BQ10" s="153">
        <f t="shared" si="42"/>
        <v>7.2100729905113427E-3</v>
      </c>
      <c r="BR10" s="463"/>
      <c r="BT10" s="147">
        <f t="shared" si="59"/>
        <v>14.461960990511342</v>
      </c>
      <c r="BU10" s="463">
        <f t="shared" si="43"/>
        <v>4.0640000000000001E-4</v>
      </c>
      <c r="BV10" s="463">
        <f t="shared" si="60"/>
        <v>5.5656319999999992E-3</v>
      </c>
      <c r="BW10" s="463">
        <f t="shared" si="44"/>
        <v>3.468634156093811E-4</v>
      </c>
      <c r="BX10" s="463">
        <f t="shared" si="45"/>
        <v>0</v>
      </c>
      <c r="BY10" s="463">
        <f t="shared" si="46"/>
        <v>7.0807422630685245E-3</v>
      </c>
      <c r="BZ10" s="463">
        <f t="shared" si="61"/>
        <v>6.3188954156093808E-3</v>
      </c>
      <c r="CA10" s="549">
        <f t="shared" si="47"/>
        <v>2.0320000000000008E-3</v>
      </c>
      <c r="CB10" s="147">
        <f t="shared" si="62"/>
        <v>9.112742263068526</v>
      </c>
      <c r="CC10" s="153">
        <f t="shared" si="63"/>
        <v>3.7046436888047561E-2</v>
      </c>
      <c r="CD10" s="5">
        <f t="shared" si="64"/>
        <v>0.18000000000000005</v>
      </c>
      <c r="CE10" s="153">
        <f t="shared" si="65"/>
        <v>0.8293156182648781</v>
      </c>
      <c r="CF10" s="5">
        <f t="shared" si="66"/>
        <v>82.931561826487808</v>
      </c>
      <c r="CG10">
        <f t="shared" si="67"/>
        <v>5.0000000000000009</v>
      </c>
      <c r="CI10" s="59">
        <f t="shared" si="48"/>
        <v>-50</v>
      </c>
      <c r="CJ10">
        <f t="shared" si="49"/>
        <v>-50</v>
      </c>
    </row>
    <row r="11" spans="2:88" x14ac:dyDescent="0.25">
      <c r="E11" s="150">
        <v>6</v>
      </c>
      <c r="F11" s="191">
        <f t="shared" si="68"/>
        <v>6.0000000000000001E-3</v>
      </c>
      <c r="G11" s="191">
        <f t="shared" si="50"/>
        <v>6.0000000000000001E-3</v>
      </c>
      <c r="H11" s="191">
        <f t="shared" si="0"/>
        <v>0.12</v>
      </c>
      <c r="I11" s="191">
        <f t="shared" si="69"/>
        <v>9.6000000000000002E-2</v>
      </c>
      <c r="J11" s="472">
        <f t="shared" si="1"/>
        <v>20</v>
      </c>
      <c r="K11" s="386">
        <f t="shared" si="2"/>
        <v>20.32</v>
      </c>
      <c r="L11" s="386">
        <f t="shared" si="3"/>
        <v>40.32</v>
      </c>
      <c r="M11" s="386"/>
      <c r="N11" s="191">
        <f t="shared" si="4"/>
        <v>0.50396825396825395</v>
      </c>
      <c r="O11" s="152">
        <f t="shared" si="51"/>
        <v>1.8898809523809523</v>
      </c>
      <c r="P11" s="152">
        <f t="shared" si="5"/>
        <v>2.7214285714285715</v>
      </c>
      <c r="Q11" s="191">
        <f t="shared" si="6"/>
        <v>9.4494047619047616E-2</v>
      </c>
      <c r="R11" s="191">
        <f t="shared" si="7"/>
        <v>0.11811755952380952</v>
      </c>
      <c r="S11" s="386">
        <f t="shared" si="8"/>
        <v>20</v>
      </c>
      <c r="T11" s="191">
        <f t="shared" si="9"/>
        <v>4.7622047244094488E-2</v>
      </c>
      <c r="U11" s="191">
        <f t="shared" si="10"/>
        <v>0.35716535433070867</v>
      </c>
      <c r="V11" s="191">
        <f t="shared" si="11"/>
        <v>0.35154070308140617</v>
      </c>
      <c r="W11" s="175">
        <f t="shared" si="12"/>
        <v>350</v>
      </c>
      <c r="X11" s="386">
        <f t="shared" si="52"/>
        <v>350</v>
      </c>
      <c r="Z11" s="191">
        <f t="shared" si="13"/>
        <v>0.19198790627362058</v>
      </c>
      <c r="AA11" s="153">
        <f t="shared" si="14"/>
        <v>1.4172335600907029</v>
      </c>
      <c r="AB11" s="153">
        <f t="shared" si="15"/>
        <v>4.7616048182941621E-2</v>
      </c>
      <c r="AC11" s="153"/>
      <c r="AD11" s="153">
        <f t="shared" si="16"/>
        <v>1.1072834645669289</v>
      </c>
      <c r="AE11" s="317">
        <f t="shared" si="17"/>
        <v>72.248888888888885</v>
      </c>
      <c r="AF11" s="463">
        <f t="shared" si="18"/>
        <v>2.9066190944881887E-2</v>
      </c>
      <c r="AH11" s="153">
        <f t="shared" si="19"/>
        <v>9.0711473522214536E-2</v>
      </c>
      <c r="AI11" s="153">
        <f t="shared" si="20"/>
        <v>0.15</v>
      </c>
      <c r="AJ11" s="153">
        <f t="shared" si="21"/>
        <v>1.0412850793650794</v>
      </c>
      <c r="AL11" s="317">
        <f t="shared" si="22"/>
        <v>6</v>
      </c>
      <c r="AM11" s="147">
        <f t="shared" si="23"/>
        <v>72.248888888888885</v>
      </c>
      <c r="AO11">
        <f t="shared" si="53"/>
        <v>6</v>
      </c>
      <c r="AP11" s="147">
        <f t="shared" si="24"/>
        <v>72.248888888888885</v>
      </c>
      <c r="AQ11" s="147"/>
      <c r="AR11" s="5">
        <f t="shared" si="54"/>
        <v>13.841043307086615</v>
      </c>
      <c r="AS11" s="5">
        <f t="shared" si="25"/>
        <v>1.1249999999999998</v>
      </c>
      <c r="AT11" s="5">
        <f t="shared" si="55"/>
        <v>12.716043307086615</v>
      </c>
      <c r="AU11" s="153">
        <f t="shared" si="56"/>
        <v>8.1279999999999977E-2</v>
      </c>
      <c r="AW11" s="5">
        <f t="shared" si="26"/>
        <v>1.7236920000000002</v>
      </c>
      <c r="AX11" s="5">
        <f t="shared" si="27"/>
        <v>8.005291199999999E-2</v>
      </c>
      <c r="AY11" s="5">
        <f t="shared" si="28"/>
        <v>1.7372910952321905</v>
      </c>
      <c r="AZ11" s="5">
        <f t="shared" si="29"/>
        <v>5.7485439584260972E-2</v>
      </c>
      <c r="BA11" s="5">
        <f t="shared" si="30"/>
        <v>0.15259251968503937</v>
      </c>
      <c r="BB11" s="147">
        <f t="shared" si="31"/>
        <v>15.295251968503935</v>
      </c>
      <c r="BC11" s="5"/>
      <c r="BD11" s="153">
        <f t="shared" si="57"/>
        <v>2.4690078979217541E-2</v>
      </c>
      <c r="BE11" s="153">
        <f t="shared" si="32"/>
        <v>8.3008433306502066E-2</v>
      </c>
      <c r="BF11" s="153">
        <f t="shared" si="33"/>
        <v>8.2682910038633428E-2</v>
      </c>
      <c r="BG11" s="153"/>
      <c r="BH11" s="463">
        <f t="shared" si="34"/>
        <v>2.1335999999999995E-4</v>
      </c>
      <c r="BI11" s="463">
        <f t="shared" si="35"/>
        <v>2.1848063999999998E-3</v>
      </c>
      <c r="BJ11" s="463">
        <f t="shared" si="36"/>
        <v>9.0311111111111093E-4</v>
      </c>
      <c r="BK11" s="463">
        <f t="shared" si="37"/>
        <v>5.8727596032000003E-3</v>
      </c>
      <c r="BL11">
        <f t="shared" si="38"/>
        <v>5.7999999999999996E-3</v>
      </c>
      <c r="BM11">
        <f t="shared" si="39"/>
        <v>2.709333333333333E-6</v>
      </c>
      <c r="BN11">
        <f t="shared" si="40"/>
        <v>1.5006140763175095E-2</v>
      </c>
      <c r="BO11" s="147">
        <f t="shared" si="58"/>
        <v>15.006140763175095</v>
      </c>
      <c r="BP11" s="153">
        <f t="shared" si="41"/>
        <v>7.5562656000000014E-3</v>
      </c>
      <c r="BQ11" s="153">
        <f t="shared" si="42"/>
        <v>7.5150581999169569E-3</v>
      </c>
      <c r="BR11" s="463"/>
      <c r="BT11" s="147">
        <f t="shared" si="59"/>
        <v>15.071323799916959</v>
      </c>
      <c r="BU11" s="463">
        <f t="shared" si="43"/>
        <v>4.8767999999999988E-4</v>
      </c>
      <c r="BV11" s="463">
        <f t="shared" si="60"/>
        <v>5.4847584000000012E-3</v>
      </c>
      <c r="BW11" s="463">
        <f t="shared" si="44"/>
        <v>3.4182318062283743E-4</v>
      </c>
      <c r="BX11" s="463">
        <f t="shared" si="45"/>
        <v>0</v>
      </c>
      <c r="BY11" s="463">
        <f t="shared" si="46"/>
        <v>7.0755471187242723E-3</v>
      </c>
      <c r="BZ11" s="463">
        <f t="shared" si="61"/>
        <v>6.3142615806228387E-3</v>
      </c>
      <c r="CA11" s="549">
        <f t="shared" si="47"/>
        <v>2.4383999999999999E-3</v>
      </c>
      <c r="CB11" s="147">
        <f t="shared" si="62"/>
        <v>9.5139471187242712</v>
      </c>
      <c r="CC11" s="153">
        <f t="shared" si="63"/>
        <v>3.9591411681816326E-2</v>
      </c>
      <c r="CD11" s="5">
        <f t="shared" si="64"/>
        <v>0.216</v>
      </c>
      <c r="CE11" s="153">
        <f t="shared" si="65"/>
        <v>0.84509881837851675</v>
      </c>
      <c r="CF11" s="5">
        <f t="shared" si="66"/>
        <v>84.50988183785168</v>
      </c>
      <c r="CG11">
        <f t="shared" si="67"/>
        <v>6</v>
      </c>
      <c r="CI11" s="59">
        <f t="shared" si="48"/>
        <v>-50</v>
      </c>
      <c r="CJ11">
        <f t="shared" si="49"/>
        <v>-50</v>
      </c>
    </row>
    <row r="12" spans="2:88" x14ac:dyDescent="0.25">
      <c r="E12" s="150">
        <v>7</v>
      </c>
      <c r="F12" s="191">
        <f t="shared" si="68"/>
        <v>7.000000000000001E-3</v>
      </c>
      <c r="G12" s="191">
        <f t="shared" si="50"/>
        <v>7.000000000000001E-3</v>
      </c>
      <c r="H12" s="191">
        <f t="shared" si="0"/>
        <v>0.14000000000000001</v>
      </c>
      <c r="I12" s="191">
        <f t="shared" si="69"/>
        <v>0.11200000000000002</v>
      </c>
      <c r="J12" s="472">
        <f t="shared" si="1"/>
        <v>20</v>
      </c>
      <c r="K12" s="386">
        <f t="shared" si="2"/>
        <v>20.32</v>
      </c>
      <c r="L12" s="386">
        <f t="shared" si="3"/>
        <v>40.32</v>
      </c>
      <c r="M12" s="386"/>
      <c r="N12" s="191">
        <f t="shared" si="4"/>
        <v>0.50396825396825395</v>
      </c>
      <c r="O12" s="152">
        <f t="shared" si="51"/>
        <v>1.8898809523809523</v>
      </c>
      <c r="P12" s="152">
        <f t="shared" si="5"/>
        <v>2.7214285714285715</v>
      </c>
      <c r="Q12" s="191">
        <f t="shared" si="6"/>
        <v>9.4494047619047616E-2</v>
      </c>
      <c r="R12" s="191">
        <f t="shared" si="7"/>
        <v>0.11811755952380952</v>
      </c>
      <c r="S12" s="386">
        <f t="shared" si="8"/>
        <v>20</v>
      </c>
      <c r="T12" s="191">
        <f t="shared" si="9"/>
        <v>5.555905511811024E-2</v>
      </c>
      <c r="U12" s="191">
        <f t="shared" si="10"/>
        <v>0.41669291338582676</v>
      </c>
      <c r="V12" s="191">
        <f t="shared" si="11"/>
        <v>0.41013082026164055</v>
      </c>
      <c r="W12" s="175">
        <f t="shared" si="12"/>
        <v>350</v>
      </c>
      <c r="X12" s="386">
        <f t="shared" si="52"/>
        <v>350</v>
      </c>
      <c r="Z12" s="191">
        <f t="shared" si="13"/>
        <v>0.19198790627362058</v>
      </c>
      <c r="AA12" s="153">
        <f t="shared" si="14"/>
        <v>1.4172335600907029</v>
      </c>
      <c r="AB12" s="153">
        <f t="shared" si="15"/>
        <v>4.7616048182941621E-2</v>
      </c>
      <c r="AC12" s="153"/>
      <c r="AD12" s="153">
        <f t="shared" si="16"/>
        <v>1.1072834645669289</v>
      </c>
      <c r="AE12" s="317">
        <f t="shared" si="17"/>
        <v>84.290370370370397</v>
      </c>
      <c r="AF12" s="463">
        <f t="shared" si="18"/>
        <v>2.9066190944881887E-2</v>
      </c>
      <c r="AH12" s="153">
        <f t="shared" si="19"/>
        <v>9.7979589711327128E-2</v>
      </c>
      <c r="AI12" s="153">
        <f t="shared" si="20"/>
        <v>0.15</v>
      </c>
      <c r="AJ12" s="153">
        <f t="shared" si="21"/>
        <v>1.0481659259259259</v>
      </c>
      <c r="AL12" s="317">
        <f t="shared" si="22"/>
        <v>7.0000000000000009</v>
      </c>
      <c r="AM12" s="147">
        <f t="shared" si="23"/>
        <v>84.290370370370397</v>
      </c>
      <c r="AO12">
        <f t="shared" si="53"/>
        <v>7.0000000000000009</v>
      </c>
      <c r="AP12" s="147">
        <f t="shared" si="24"/>
        <v>84.290370370370397</v>
      </c>
      <c r="AQ12" s="147"/>
      <c r="AR12" s="5">
        <f t="shared" si="54"/>
        <v>11.863751406074238</v>
      </c>
      <c r="AS12" s="5">
        <f t="shared" si="25"/>
        <v>1.1249999999999998</v>
      </c>
      <c r="AT12" s="5">
        <f t="shared" si="55"/>
        <v>10.738751406074238</v>
      </c>
      <c r="AU12" s="153">
        <f t="shared" si="56"/>
        <v>9.482666666666667E-2</v>
      </c>
      <c r="AW12" s="5">
        <f t="shared" si="26"/>
        <v>1.7236920000000002</v>
      </c>
      <c r="AX12" s="5">
        <f t="shared" si="27"/>
        <v>0.10546090800000002</v>
      </c>
      <c r="AY12" s="5">
        <f t="shared" si="28"/>
        <v>1.7372910952321905</v>
      </c>
      <c r="AZ12" s="5">
        <f t="shared" si="29"/>
        <v>7.5910737211910786E-2</v>
      </c>
      <c r="BA12" s="5">
        <f t="shared" si="30"/>
        <v>0.15034251968503931</v>
      </c>
      <c r="BB12" s="147">
        <f t="shared" si="31"/>
        <v>15.076251968503934</v>
      </c>
      <c r="BC12" s="5"/>
      <c r="BD12" s="153">
        <f t="shared" si="57"/>
        <v>2.6668333281253256E-2</v>
      </c>
      <c r="BE12" s="153">
        <f t="shared" si="32"/>
        <v>8.2394174551360125E-2</v>
      </c>
      <c r="BF12" s="153">
        <f t="shared" si="33"/>
        <v>8.207106014135479E-2</v>
      </c>
      <c r="BG12" s="153"/>
      <c r="BH12" s="463">
        <f t="shared" si="34"/>
        <v>2.4892000000000002E-4</v>
      </c>
      <c r="BI12" s="463">
        <f t="shared" si="35"/>
        <v>2.5489408000000007E-3</v>
      </c>
      <c r="BJ12" s="463">
        <f t="shared" si="36"/>
        <v>1.0536296296296298E-3</v>
      </c>
      <c r="BK12" s="463">
        <f t="shared" si="37"/>
        <v>6.8515528704000041E-3</v>
      </c>
      <c r="BL12">
        <f t="shared" si="38"/>
        <v>5.7999999999999996E-3</v>
      </c>
      <c r="BM12">
        <f t="shared" si="39"/>
        <v>3.1608888888888899E-6</v>
      </c>
      <c r="BN12">
        <f t="shared" si="40"/>
        <v>1.6540568026745171E-2</v>
      </c>
      <c r="BO12" s="147">
        <f t="shared" si="58"/>
        <v>16.54056802674517</v>
      </c>
      <c r="BP12" s="153">
        <f t="shared" si="41"/>
        <v>7.8606432000000014E-3</v>
      </c>
      <c r="BQ12" s="153">
        <f t="shared" si="42"/>
        <v>7.8200434093225694E-3</v>
      </c>
      <c r="BR12" s="463"/>
      <c r="BT12" s="147">
        <f t="shared" si="59"/>
        <v>15.680686609322571</v>
      </c>
      <c r="BU12" s="463">
        <f t="shared" si="43"/>
        <v>5.6896000000000008E-4</v>
      </c>
      <c r="BV12" s="463">
        <f t="shared" si="60"/>
        <v>5.4038848000000006E-3</v>
      </c>
      <c r="BW12" s="463">
        <f t="shared" si="44"/>
        <v>3.3678294563629376E-4</v>
      </c>
      <c r="BX12" s="463">
        <f t="shared" si="45"/>
        <v>0</v>
      </c>
      <c r="BY12" s="463">
        <f t="shared" si="46"/>
        <v>7.0703519782337127E-3</v>
      </c>
      <c r="BZ12" s="463">
        <f t="shared" si="61"/>
        <v>6.3096277456362948E-3</v>
      </c>
      <c r="CA12" s="549">
        <f t="shared" si="47"/>
        <v>2.8448000000000011E-3</v>
      </c>
      <c r="CB12" s="147">
        <f t="shared" si="62"/>
        <v>9.9151519782337125</v>
      </c>
      <c r="CC12" s="153">
        <f t="shared" si="63"/>
        <v>4.2136406614301451E-2</v>
      </c>
      <c r="CD12" s="5">
        <f t="shared" si="64"/>
        <v>0.252</v>
      </c>
      <c r="CE12" s="153">
        <f t="shared" si="65"/>
        <v>0.85674535464916257</v>
      </c>
      <c r="CF12" s="5">
        <f t="shared" si="66"/>
        <v>85.674535464916261</v>
      </c>
      <c r="CG12">
        <f t="shared" si="67"/>
        <v>7.0000000000000009</v>
      </c>
      <c r="CI12" s="59">
        <f t="shared" si="48"/>
        <v>-50</v>
      </c>
      <c r="CJ12">
        <f t="shared" si="49"/>
        <v>-50</v>
      </c>
    </row>
    <row r="13" spans="2:88" s="59" customFormat="1" x14ac:dyDescent="0.25">
      <c r="E13" s="150">
        <v>8</v>
      </c>
      <c r="F13" s="191">
        <f t="shared" si="68"/>
        <v>8.0000000000000002E-3</v>
      </c>
      <c r="G13" s="191">
        <f t="shared" si="50"/>
        <v>8.0000000000000002E-3</v>
      </c>
      <c r="H13" s="191">
        <f t="shared" si="0"/>
        <v>0.16</v>
      </c>
      <c r="I13" s="191">
        <f t="shared" si="69"/>
        <v>0.128</v>
      </c>
      <c r="J13" s="472">
        <f t="shared" si="1"/>
        <v>20</v>
      </c>
      <c r="K13" s="386">
        <f t="shared" si="2"/>
        <v>20.32</v>
      </c>
      <c r="L13" s="386">
        <f t="shared" si="3"/>
        <v>40.32</v>
      </c>
      <c r="M13" s="386"/>
      <c r="N13" s="191">
        <f t="shared" si="4"/>
        <v>0.50396825396825395</v>
      </c>
      <c r="O13" s="152">
        <f t="shared" si="51"/>
        <v>1.8898809523809523</v>
      </c>
      <c r="P13" s="152">
        <f t="shared" si="5"/>
        <v>2.7214285714285715</v>
      </c>
      <c r="Q13" s="191">
        <f t="shared" si="6"/>
        <v>9.4494047619047616E-2</v>
      </c>
      <c r="R13" s="191">
        <f t="shared" si="7"/>
        <v>0.11811755952380952</v>
      </c>
      <c r="S13" s="386">
        <f t="shared" si="8"/>
        <v>20</v>
      </c>
      <c r="T13" s="191">
        <f t="shared" si="9"/>
        <v>6.3496062992125998E-2</v>
      </c>
      <c r="U13" s="191">
        <f t="shared" si="10"/>
        <v>0.47622047244094495</v>
      </c>
      <c r="V13" s="191">
        <f t="shared" si="11"/>
        <v>0.46872093744187493</v>
      </c>
      <c r="W13" s="175">
        <f t="shared" si="12"/>
        <v>350</v>
      </c>
      <c r="X13" s="386">
        <f t="shared" si="52"/>
        <v>350</v>
      </c>
      <c r="Z13" s="191">
        <f t="shared" si="13"/>
        <v>0.19198790627362058</v>
      </c>
      <c r="AA13" s="153">
        <f t="shared" si="14"/>
        <v>1.4172335600907029</v>
      </c>
      <c r="AB13" s="153">
        <f t="shared" si="15"/>
        <v>4.7616048182941621E-2</v>
      </c>
      <c r="AC13" s="469"/>
      <c r="AD13" s="153">
        <f t="shared" si="16"/>
        <v>1.1072834645669289</v>
      </c>
      <c r="AE13" s="317">
        <f t="shared" si="17"/>
        <v>96.331851851851852</v>
      </c>
      <c r="AF13" s="463">
        <f t="shared" si="18"/>
        <v>2.9066190944881887E-2</v>
      </c>
      <c r="AG13"/>
      <c r="AH13" s="153">
        <f t="shared" si="19"/>
        <v>0.10474458731327636</v>
      </c>
      <c r="AI13" s="153">
        <f t="shared" si="20"/>
        <v>0.15</v>
      </c>
      <c r="AJ13" s="153">
        <f t="shared" si="21"/>
        <v>1.0550467724867725</v>
      </c>
      <c r="AL13" s="317">
        <f t="shared" si="22"/>
        <v>8</v>
      </c>
      <c r="AM13" s="147">
        <f t="shared" si="23"/>
        <v>96.331851851851852</v>
      </c>
      <c r="AO13">
        <f t="shared" si="53"/>
        <v>8</v>
      </c>
      <c r="AP13" s="147">
        <f t="shared" si="24"/>
        <v>96.331851851851852</v>
      </c>
      <c r="AQ13" s="147"/>
      <c r="AR13" s="5">
        <f t="shared" si="54"/>
        <v>10.380782480314961</v>
      </c>
      <c r="AS13" s="5">
        <f t="shared" si="25"/>
        <v>1.1249999999999998</v>
      </c>
      <c r="AT13" s="5">
        <f t="shared" si="55"/>
        <v>9.2557824803149611</v>
      </c>
      <c r="AU13" s="153">
        <f t="shared" si="56"/>
        <v>0.10837333333333331</v>
      </c>
      <c r="AW13" s="5">
        <f t="shared" si="26"/>
        <v>1.7236920000000002</v>
      </c>
      <c r="AX13" s="5">
        <f t="shared" si="27"/>
        <v>0.13431628799999995</v>
      </c>
      <c r="AY13" s="5">
        <f t="shared" si="28"/>
        <v>1.7372910952321905</v>
      </c>
      <c r="AZ13" s="5">
        <f t="shared" si="29"/>
        <v>9.6863003705352835E-2</v>
      </c>
      <c r="BA13" s="5">
        <f t="shared" si="30"/>
        <v>0.14809251968503939</v>
      </c>
      <c r="BB13" s="147">
        <f t="shared" si="31"/>
        <v>14.857251968503938</v>
      </c>
      <c r="BC13" s="5"/>
      <c r="BD13" s="153">
        <f t="shared" si="57"/>
        <v>2.8509647489928736E-2</v>
      </c>
      <c r="BE13" s="153">
        <f t="shared" si="32"/>
        <v>8.1775301894887562E-2</v>
      </c>
      <c r="BF13" s="153">
        <f t="shared" si="33"/>
        <v>8.1454614436476239E-2</v>
      </c>
      <c r="BG13" s="153"/>
      <c r="BH13" s="463">
        <f t="shared" si="34"/>
        <v>2.8447999999999993E-4</v>
      </c>
      <c r="BI13" s="463">
        <f t="shared" si="35"/>
        <v>2.9130752000000003E-3</v>
      </c>
      <c r="BJ13" s="463">
        <f t="shared" si="36"/>
        <v>1.2041481481481482E-3</v>
      </c>
      <c r="BK13" s="463">
        <f t="shared" si="37"/>
        <v>7.8303461376000028E-3</v>
      </c>
      <c r="BL13">
        <f t="shared" si="38"/>
        <v>5.7999999999999996E-3</v>
      </c>
      <c r="BM13">
        <f t="shared" si="39"/>
        <v>3.6124444444444443E-6</v>
      </c>
      <c r="BN13">
        <f t="shared" si="40"/>
        <v>1.8075015425574228E-2</v>
      </c>
      <c r="BO13" s="147">
        <f t="shared" si="58"/>
        <v>18.075015425574229</v>
      </c>
      <c r="BP13" s="153">
        <f t="shared" si="41"/>
        <v>8.1650208000000005E-3</v>
      </c>
      <c r="BQ13" s="153">
        <f t="shared" si="42"/>
        <v>8.1250286187281844E-3</v>
      </c>
      <c r="BR13" s="463"/>
      <c r="BT13" s="147">
        <f t="shared" si="59"/>
        <v>16.290049418728184</v>
      </c>
      <c r="BU13" s="463">
        <f t="shared" si="43"/>
        <v>6.5023999999999985E-4</v>
      </c>
      <c r="BV13" s="463">
        <f t="shared" si="60"/>
        <v>5.3230112000000008E-3</v>
      </c>
      <c r="BW13" s="463">
        <f t="shared" si="44"/>
        <v>3.317427106497502E-4</v>
      </c>
      <c r="BX13" s="463">
        <f t="shared" si="45"/>
        <v>0</v>
      </c>
      <c r="BY13" s="463">
        <f t="shared" si="46"/>
        <v>7.0651568415968456E-3</v>
      </c>
      <c r="BZ13" s="463">
        <f t="shared" si="61"/>
        <v>6.304993910649751E-3</v>
      </c>
      <c r="CA13" s="549">
        <f t="shared" si="47"/>
        <v>3.2512000000000001E-3</v>
      </c>
      <c r="CB13" s="147">
        <f t="shared" si="62"/>
        <v>10.316356841596846</v>
      </c>
      <c r="CC13" s="153">
        <f t="shared" si="63"/>
        <v>4.468142168589926E-2</v>
      </c>
      <c r="CD13" s="5">
        <f t="shared" si="64"/>
        <v>0.28800000000000003</v>
      </c>
      <c r="CE13" s="153">
        <f t="shared" si="65"/>
        <v>0.86569306617883468</v>
      </c>
      <c r="CF13" s="5">
        <f t="shared" si="66"/>
        <v>86.56930661788347</v>
      </c>
      <c r="CG13">
        <f t="shared" si="67"/>
        <v>8</v>
      </c>
      <c r="CI13" s="59">
        <f t="shared" si="48"/>
        <v>-50</v>
      </c>
      <c r="CJ13">
        <f t="shared" si="49"/>
        <v>-50</v>
      </c>
    </row>
    <row r="14" spans="2:88" x14ac:dyDescent="0.25">
      <c r="E14" s="150">
        <v>9</v>
      </c>
      <c r="F14" s="191">
        <f t="shared" si="68"/>
        <v>8.9999999999999993E-3</v>
      </c>
      <c r="G14" s="191">
        <f t="shared" si="50"/>
        <v>8.9999999999999993E-3</v>
      </c>
      <c r="H14" s="191">
        <f t="shared" si="0"/>
        <v>0.18</v>
      </c>
      <c r="I14" s="191">
        <f t="shared" si="69"/>
        <v>0.14399999999999999</v>
      </c>
      <c r="J14" s="472">
        <f t="shared" si="1"/>
        <v>20</v>
      </c>
      <c r="K14" s="386">
        <f t="shared" si="2"/>
        <v>20.32</v>
      </c>
      <c r="L14" s="386">
        <f t="shared" si="3"/>
        <v>40.32</v>
      </c>
      <c r="M14" s="386"/>
      <c r="N14" s="191">
        <f t="shared" si="4"/>
        <v>0.50396825396825395</v>
      </c>
      <c r="O14" s="152">
        <f t="shared" si="51"/>
        <v>1.8898809523809523</v>
      </c>
      <c r="P14" s="152">
        <f t="shared" si="5"/>
        <v>2.7214285714285715</v>
      </c>
      <c r="Q14" s="191">
        <f t="shared" si="6"/>
        <v>9.4494047619047616E-2</v>
      </c>
      <c r="R14" s="191">
        <f t="shared" si="7"/>
        <v>0.11811755952380952</v>
      </c>
      <c r="S14" s="386">
        <f t="shared" si="8"/>
        <v>20</v>
      </c>
      <c r="T14" s="191">
        <f t="shared" si="9"/>
        <v>7.1433070866141729E-2</v>
      </c>
      <c r="U14" s="191">
        <f t="shared" si="10"/>
        <v>0.53574803149606287</v>
      </c>
      <c r="V14" s="191">
        <f t="shared" si="11"/>
        <v>0.52731105462210914</v>
      </c>
      <c r="W14" s="175">
        <f t="shared" si="12"/>
        <v>350</v>
      </c>
      <c r="X14" s="386">
        <f t="shared" si="52"/>
        <v>350</v>
      </c>
      <c r="Z14" s="191">
        <f t="shared" si="13"/>
        <v>0.19198790627362058</v>
      </c>
      <c r="AA14" s="153">
        <f t="shared" si="14"/>
        <v>1.4172335600907029</v>
      </c>
      <c r="AB14" s="153">
        <f t="shared" si="15"/>
        <v>4.7616048182941621E-2</v>
      </c>
      <c r="AC14" s="153"/>
      <c r="AD14" s="153">
        <f t="shared" si="16"/>
        <v>1.1072834645669289</v>
      </c>
      <c r="AE14" s="317">
        <f t="shared" si="17"/>
        <v>108.37333333333333</v>
      </c>
      <c r="AF14" s="463">
        <f t="shared" si="18"/>
        <v>2.9066190944881887E-2</v>
      </c>
      <c r="AH14" s="153">
        <f t="shared" si="19"/>
        <v>0.11109841197270617</v>
      </c>
      <c r="AI14" s="153">
        <f t="shared" si="20"/>
        <v>0.15</v>
      </c>
      <c r="AJ14" s="153">
        <f t="shared" si="21"/>
        <v>1.061927619047619</v>
      </c>
      <c r="AL14" s="317">
        <f t="shared" si="22"/>
        <v>9</v>
      </c>
      <c r="AM14" s="147">
        <f t="shared" si="23"/>
        <v>108.37333333333333</v>
      </c>
      <c r="AO14">
        <f t="shared" si="53"/>
        <v>9</v>
      </c>
      <c r="AP14" s="147">
        <f t="shared" si="24"/>
        <v>108.37333333333333</v>
      </c>
      <c r="AQ14" s="147"/>
      <c r="AR14" s="5">
        <f t="shared" si="54"/>
        <v>9.2273622047244093</v>
      </c>
      <c r="AS14" s="5">
        <f t="shared" si="25"/>
        <v>1.1249999999999998</v>
      </c>
      <c r="AT14" s="5">
        <f t="shared" si="55"/>
        <v>8.1023622047244093</v>
      </c>
      <c r="AU14" s="153">
        <f t="shared" si="56"/>
        <v>0.12191999999999997</v>
      </c>
      <c r="AW14" s="5">
        <f t="shared" si="26"/>
        <v>1.7236920000000002</v>
      </c>
      <c r="AX14" s="5">
        <f t="shared" si="27"/>
        <v>0.16661905199999996</v>
      </c>
      <c r="AY14" s="5">
        <f t="shared" si="28"/>
        <v>1.7372910952321905</v>
      </c>
      <c r="AZ14" s="5">
        <f t="shared" si="29"/>
        <v>0.1203422390645872</v>
      </c>
      <c r="BA14" s="5">
        <f t="shared" si="30"/>
        <v>0.14584251968503933</v>
      </c>
      <c r="BB14" s="147">
        <f t="shared" si="31"/>
        <v>14.638251968503937</v>
      </c>
      <c r="BC14" s="5"/>
      <c r="BD14" s="153">
        <f t="shared" si="57"/>
        <v>3.0239047604049961E-2</v>
      </c>
      <c r="BE14" s="153">
        <f t="shared" si="32"/>
        <v>8.115170977866086E-2</v>
      </c>
      <c r="BF14" s="153">
        <f t="shared" si="33"/>
        <v>8.0833467779528864E-2</v>
      </c>
      <c r="BG14" s="153"/>
      <c r="BH14" s="463">
        <f t="shared" si="34"/>
        <v>3.2003999999999984E-4</v>
      </c>
      <c r="BI14" s="463">
        <f t="shared" si="35"/>
        <v>3.2772095999999999E-3</v>
      </c>
      <c r="BJ14" s="463">
        <f t="shared" si="36"/>
        <v>1.3546666666666668E-3</v>
      </c>
      <c r="BK14" s="463">
        <f t="shared" si="37"/>
        <v>8.8091394048000014E-3</v>
      </c>
      <c r="BL14">
        <f t="shared" si="38"/>
        <v>5.7999999999999996E-3</v>
      </c>
      <c r="BM14">
        <f t="shared" si="39"/>
        <v>4.0639999999999995E-6</v>
      </c>
      <c r="BN14">
        <f t="shared" si="40"/>
        <v>1.9609482960058613E-2</v>
      </c>
      <c r="BO14" s="147">
        <f t="shared" si="58"/>
        <v>19.609482960058614</v>
      </c>
      <c r="BP14" s="153">
        <f t="shared" si="41"/>
        <v>8.4693984000000014E-3</v>
      </c>
      <c r="BQ14" s="153">
        <f t="shared" si="42"/>
        <v>8.430013828133796E-3</v>
      </c>
      <c r="BR14" s="463"/>
      <c r="BT14" s="147">
        <f t="shared" si="59"/>
        <v>16.899412228133798</v>
      </c>
      <c r="BU14" s="463">
        <f t="shared" si="43"/>
        <v>7.3151999999999983E-4</v>
      </c>
      <c r="BV14" s="463">
        <f t="shared" si="60"/>
        <v>5.2421376000000011E-3</v>
      </c>
      <c r="BW14" s="463">
        <f t="shared" si="44"/>
        <v>3.2670247566320658E-4</v>
      </c>
      <c r="BX14" s="463">
        <f t="shared" si="45"/>
        <v>0</v>
      </c>
      <c r="BY14" s="463">
        <f t="shared" si="46"/>
        <v>7.0599617088136675E-3</v>
      </c>
      <c r="BZ14" s="463">
        <f t="shared" si="61"/>
        <v>6.300360075663208E-3</v>
      </c>
      <c r="CA14" s="549">
        <f t="shared" si="47"/>
        <v>3.6576000000000004E-3</v>
      </c>
      <c r="CB14" s="147">
        <f t="shared" si="62"/>
        <v>10.717561708813667</v>
      </c>
      <c r="CC14" s="153">
        <f t="shared" si="63"/>
        <v>4.7226456897006081E-2</v>
      </c>
      <c r="CD14" s="5">
        <f t="shared" si="64"/>
        <v>0.32399999999999995</v>
      </c>
      <c r="CE14" s="153">
        <f t="shared" si="65"/>
        <v>0.87278262090541481</v>
      </c>
      <c r="CF14" s="5">
        <f t="shared" si="66"/>
        <v>87.278262090541475</v>
      </c>
      <c r="CG14">
        <f t="shared" si="67"/>
        <v>8.9999999999999982</v>
      </c>
      <c r="CI14" s="59">
        <f t="shared" si="48"/>
        <v>-50</v>
      </c>
      <c r="CJ14">
        <f t="shared" si="49"/>
        <v>-50</v>
      </c>
    </row>
    <row r="15" spans="2:88" x14ac:dyDescent="0.25">
      <c r="E15" s="150">
        <v>10</v>
      </c>
      <c r="F15" s="191">
        <f t="shared" si="68"/>
        <v>1.0000000000000002E-2</v>
      </c>
      <c r="G15" s="191">
        <f t="shared" si="50"/>
        <v>1.0000000000000002E-2</v>
      </c>
      <c r="H15" s="191">
        <f t="shared" si="0"/>
        <v>0.20000000000000004</v>
      </c>
      <c r="I15" s="191">
        <f t="shared" si="69"/>
        <v>0.16000000000000003</v>
      </c>
      <c r="J15" s="472">
        <f t="shared" si="1"/>
        <v>20</v>
      </c>
      <c r="K15" s="386">
        <f t="shared" si="2"/>
        <v>20.32</v>
      </c>
      <c r="L15" s="386">
        <f t="shared" si="3"/>
        <v>40.32</v>
      </c>
      <c r="M15" s="386"/>
      <c r="N15" s="191">
        <f t="shared" si="4"/>
        <v>0.50396825396825395</v>
      </c>
      <c r="O15" s="152">
        <f t="shared" si="51"/>
        <v>1.8898809523809523</v>
      </c>
      <c r="P15" s="152">
        <f t="shared" si="5"/>
        <v>2.7214285714285715</v>
      </c>
      <c r="Q15" s="191">
        <f t="shared" si="6"/>
        <v>9.4494047619047616E-2</v>
      </c>
      <c r="R15" s="191">
        <f t="shared" si="7"/>
        <v>0.11811755952380952</v>
      </c>
      <c r="S15" s="386">
        <f t="shared" si="8"/>
        <v>20</v>
      </c>
      <c r="T15" s="191">
        <f t="shared" si="9"/>
        <v>7.9370078740157501E-2</v>
      </c>
      <c r="U15" s="191">
        <f t="shared" si="10"/>
        <v>0.59527559055118129</v>
      </c>
      <c r="V15" s="191">
        <f t="shared" si="11"/>
        <v>0.5859011718023438</v>
      </c>
      <c r="W15" s="175">
        <f t="shared" si="12"/>
        <v>350</v>
      </c>
      <c r="X15" s="386">
        <f t="shared" si="52"/>
        <v>350</v>
      </c>
      <c r="Z15" s="191">
        <f t="shared" si="13"/>
        <v>0.19198790627362058</v>
      </c>
      <c r="AA15" s="153">
        <f t="shared" si="14"/>
        <v>1.4172335600907029</v>
      </c>
      <c r="AB15" s="153">
        <f t="shared" si="15"/>
        <v>4.7616048182941621E-2</v>
      </c>
      <c r="AC15" s="153"/>
      <c r="AD15" s="153">
        <f t="shared" si="16"/>
        <v>1.1072834645669289</v>
      </c>
      <c r="AE15" s="317">
        <f t="shared" si="17"/>
        <v>120.41481481481485</v>
      </c>
      <c r="AF15" s="463">
        <f t="shared" si="18"/>
        <v>2.9066190944881887E-2</v>
      </c>
      <c r="AH15" s="153">
        <f t="shared" si="19"/>
        <v>0.117108008753824</v>
      </c>
      <c r="AI15" s="153">
        <f t="shared" si="20"/>
        <v>0.15</v>
      </c>
      <c r="AJ15" s="153">
        <f t="shared" si="21"/>
        <v>1.0688084656084655</v>
      </c>
      <c r="AL15" s="317">
        <f t="shared" si="22"/>
        <v>10.000000000000002</v>
      </c>
      <c r="AM15" s="147">
        <f t="shared" si="23"/>
        <v>120.41481481481485</v>
      </c>
      <c r="AO15">
        <f t="shared" si="53"/>
        <v>10.000000000000002</v>
      </c>
      <c r="AP15" s="147">
        <f t="shared" si="24"/>
        <v>120.41481481481485</v>
      </c>
      <c r="AQ15" s="147"/>
      <c r="AR15" s="5">
        <f t="shared" si="54"/>
        <v>8.3046259842519667</v>
      </c>
      <c r="AS15" s="5">
        <f t="shared" si="25"/>
        <v>1.1249999999999998</v>
      </c>
      <c r="AT15" s="5">
        <f t="shared" si="55"/>
        <v>7.1796259842519667</v>
      </c>
      <c r="AU15" s="153">
        <f t="shared" si="56"/>
        <v>0.13546666666666668</v>
      </c>
      <c r="AW15" s="5">
        <f t="shared" si="26"/>
        <v>1.7236920000000002</v>
      </c>
      <c r="AX15" s="5">
        <f t="shared" si="27"/>
        <v>0.20236920000000005</v>
      </c>
      <c r="AY15" s="5">
        <f t="shared" si="28"/>
        <v>1.7372910952321905</v>
      </c>
      <c r="AZ15" s="5">
        <f t="shared" si="29"/>
        <v>0.14634844328961388</v>
      </c>
      <c r="BA15" s="5">
        <f t="shared" si="30"/>
        <v>0.14359251968503936</v>
      </c>
      <c r="BB15" s="147">
        <f t="shared" si="31"/>
        <v>14.419251968503938</v>
      </c>
      <c r="BC15" s="5"/>
      <c r="BD15" s="153">
        <f t="shared" si="57"/>
        <v>3.1874754901018452E-2</v>
      </c>
      <c r="BE15" s="153">
        <f t="shared" si="32"/>
        <v>8.0523288556789585E-2</v>
      </c>
      <c r="BF15" s="153">
        <f t="shared" si="33"/>
        <v>8.0207510954606098E-2</v>
      </c>
      <c r="BG15" s="153"/>
      <c r="BH15" s="463">
        <f t="shared" si="34"/>
        <v>3.5559999999999992E-4</v>
      </c>
      <c r="BI15" s="463">
        <f t="shared" si="35"/>
        <v>3.6413440000000008E-3</v>
      </c>
      <c r="BJ15" s="463">
        <f t="shared" si="36"/>
        <v>1.5051851851851856E-3</v>
      </c>
      <c r="BK15" s="463">
        <f t="shared" si="37"/>
        <v>9.7879326720000052E-3</v>
      </c>
      <c r="BL15">
        <f t="shared" si="38"/>
        <v>5.7999999999999996E-3</v>
      </c>
      <c r="BM15">
        <f t="shared" si="39"/>
        <v>4.5155555555555565E-6</v>
      </c>
      <c r="BN15">
        <f t="shared" si="40"/>
        <v>2.1143970630594675E-2</v>
      </c>
      <c r="BO15" s="147">
        <f t="shared" si="58"/>
        <v>21.143970630594676</v>
      </c>
      <c r="BP15" s="153">
        <f t="shared" si="41"/>
        <v>8.7737760000000022E-3</v>
      </c>
      <c r="BQ15" s="153">
        <f t="shared" si="42"/>
        <v>8.7349990375394093E-3</v>
      </c>
      <c r="BR15" s="463"/>
      <c r="BT15" s="147">
        <f t="shared" si="59"/>
        <v>17.508775037539412</v>
      </c>
      <c r="BU15" s="463">
        <f t="shared" si="43"/>
        <v>8.1279999999999981E-4</v>
      </c>
      <c r="BV15" s="463">
        <f t="shared" si="60"/>
        <v>5.1612640000000005E-3</v>
      </c>
      <c r="BW15" s="463">
        <f t="shared" si="44"/>
        <v>3.2166224067666291E-4</v>
      </c>
      <c r="BX15" s="463">
        <f t="shared" si="45"/>
        <v>0</v>
      </c>
      <c r="BY15" s="463">
        <f t="shared" si="46"/>
        <v>7.054766579884169E-3</v>
      </c>
      <c r="BZ15" s="463">
        <f t="shared" si="61"/>
        <v>6.2957262406766632E-3</v>
      </c>
      <c r="CA15" s="549">
        <f t="shared" si="47"/>
        <v>4.0640000000000016E-3</v>
      </c>
      <c r="CB15" s="147">
        <f t="shared" si="62"/>
        <v>11.11876657988417</v>
      </c>
      <c r="CC15" s="153">
        <f t="shared" si="63"/>
        <v>4.9771512248018249E-2</v>
      </c>
      <c r="CD15" s="5">
        <f t="shared" si="64"/>
        <v>0.3600000000000001</v>
      </c>
      <c r="CE15" s="153">
        <f t="shared" si="65"/>
        <v>0.87853837868091345</v>
      </c>
      <c r="CF15" s="5">
        <f t="shared" si="66"/>
        <v>87.853837868091347</v>
      </c>
      <c r="CG15">
        <f t="shared" si="67"/>
        <v>10.000000000000002</v>
      </c>
      <c r="CI15" s="59">
        <f t="shared" si="48"/>
        <v>-50</v>
      </c>
      <c r="CJ15">
        <f t="shared" si="49"/>
        <v>-50</v>
      </c>
    </row>
    <row r="16" spans="2:88" x14ac:dyDescent="0.25">
      <c r="E16" s="150">
        <v>11</v>
      </c>
      <c r="F16" s="191">
        <f t="shared" si="68"/>
        <v>1.1000000000000001E-2</v>
      </c>
      <c r="G16" s="191">
        <f t="shared" si="50"/>
        <v>1.1000000000000001E-2</v>
      </c>
      <c r="H16" s="191">
        <f t="shared" si="0"/>
        <v>0.22000000000000003</v>
      </c>
      <c r="I16" s="191">
        <f t="shared" si="69"/>
        <v>0.17600000000000002</v>
      </c>
      <c r="J16" s="472">
        <f t="shared" si="1"/>
        <v>20</v>
      </c>
      <c r="K16" s="386">
        <f t="shared" si="2"/>
        <v>20.32</v>
      </c>
      <c r="L16" s="386">
        <f t="shared" si="3"/>
        <v>40.32</v>
      </c>
      <c r="M16" s="386"/>
      <c r="N16" s="191">
        <f t="shared" si="4"/>
        <v>0.50396825396825395</v>
      </c>
      <c r="O16" s="152">
        <f t="shared" si="51"/>
        <v>1.8898809523809523</v>
      </c>
      <c r="P16" s="152">
        <f t="shared" si="5"/>
        <v>2.7214285714285715</v>
      </c>
      <c r="Q16" s="191">
        <f t="shared" si="6"/>
        <v>9.4494047619047616E-2</v>
      </c>
      <c r="R16" s="191">
        <f t="shared" si="7"/>
        <v>0.11811755952380952</v>
      </c>
      <c r="S16" s="386">
        <f t="shared" si="8"/>
        <v>20</v>
      </c>
      <c r="T16" s="191">
        <f t="shared" si="9"/>
        <v>8.7307086614173232E-2</v>
      </c>
      <c r="U16" s="191">
        <f t="shared" si="10"/>
        <v>0.65480314960629915</v>
      </c>
      <c r="V16" s="191">
        <f t="shared" si="11"/>
        <v>0.6444912889825779</v>
      </c>
      <c r="W16" s="175">
        <f t="shared" si="12"/>
        <v>350</v>
      </c>
      <c r="X16" s="386">
        <f t="shared" si="52"/>
        <v>350</v>
      </c>
      <c r="Z16" s="191">
        <f t="shared" si="13"/>
        <v>0.19198790627362058</v>
      </c>
      <c r="AA16" s="153">
        <f t="shared" si="14"/>
        <v>1.4172335600907029</v>
      </c>
      <c r="AB16" s="153">
        <f t="shared" si="15"/>
        <v>4.7616048182941621E-2</v>
      </c>
      <c r="AC16" s="153"/>
      <c r="AD16" s="153">
        <f t="shared" si="16"/>
        <v>1.1072834645669289</v>
      </c>
      <c r="AE16" s="317">
        <f t="shared" si="17"/>
        <v>132.45629629629633</v>
      </c>
      <c r="AF16" s="463">
        <f t="shared" si="18"/>
        <v>2.9066190944881887E-2</v>
      </c>
      <c r="AH16" s="153">
        <f t="shared" si="19"/>
        <v>0.12282391577259817</v>
      </c>
      <c r="AI16" s="153">
        <f t="shared" si="20"/>
        <v>0.15</v>
      </c>
      <c r="AJ16" s="153">
        <f t="shared" si="21"/>
        <v>1.0756893121693123</v>
      </c>
      <c r="AL16" s="317">
        <f t="shared" si="22"/>
        <v>11.000000000000002</v>
      </c>
      <c r="AM16" s="147">
        <f t="shared" si="23"/>
        <v>132.45629629629633</v>
      </c>
      <c r="AO16">
        <f t="shared" si="53"/>
        <v>11.000000000000002</v>
      </c>
      <c r="AP16" s="147">
        <f t="shared" si="24"/>
        <v>132.45629629629633</v>
      </c>
      <c r="AQ16" s="147"/>
      <c r="AR16" s="5">
        <f t="shared" si="54"/>
        <v>7.549659985683606</v>
      </c>
      <c r="AS16" s="5">
        <f t="shared" si="25"/>
        <v>1.1249999999999998</v>
      </c>
      <c r="AT16" s="5">
        <f t="shared" si="55"/>
        <v>6.424659985683606</v>
      </c>
      <c r="AU16" s="153">
        <f t="shared" si="56"/>
        <v>0.14901333333333333</v>
      </c>
      <c r="AW16" s="5">
        <f t="shared" si="26"/>
        <v>1.7236920000000002</v>
      </c>
      <c r="AX16" s="5">
        <f t="shared" si="27"/>
        <v>0.24156673200000003</v>
      </c>
      <c r="AY16" s="5">
        <f t="shared" si="28"/>
        <v>1.7372910952321905</v>
      </c>
      <c r="AZ16" s="5">
        <f t="shared" si="29"/>
        <v>0.17488161638043276</v>
      </c>
      <c r="BA16" s="5">
        <f t="shared" si="30"/>
        <v>0.14134251968503933</v>
      </c>
      <c r="BB16" s="147">
        <f t="shared" si="31"/>
        <v>14.200251968503936</v>
      </c>
      <c r="BC16" s="5"/>
      <c r="BD16" s="153">
        <f t="shared" si="57"/>
        <v>3.3430524973443058E-2</v>
      </c>
      <c r="BE16" s="153">
        <f t="shared" si="32"/>
        <v>7.9889924270836549E-2</v>
      </c>
      <c r="BF16" s="153">
        <f t="shared" si="33"/>
        <v>7.9576630450166608E-2</v>
      </c>
      <c r="BG16" s="153"/>
      <c r="BH16" s="463">
        <f t="shared" si="34"/>
        <v>3.9115999999999999E-4</v>
      </c>
      <c r="BI16" s="463">
        <f t="shared" si="35"/>
        <v>4.0054784000000017E-3</v>
      </c>
      <c r="BJ16" s="463">
        <f t="shared" si="36"/>
        <v>1.6557037037037039E-3</v>
      </c>
      <c r="BK16" s="463">
        <f t="shared" si="37"/>
        <v>1.0766725939200006E-2</v>
      </c>
      <c r="BL16">
        <f t="shared" si="38"/>
        <v>5.7999999999999996E-3</v>
      </c>
      <c r="BM16">
        <f t="shared" si="39"/>
        <v>4.9671111111111125E-6</v>
      </c>
      <c r="BN16">
        <f t="shared" si="40"/>
        <v>2.2678478437578756E-2</v>
      </c>
      <c r="BO16" s="147">
        <f t="shared" si="58"/>
        <v>22.678478437578757</v>
      </c>
      <c r="BP16" s="153">
        <f t="shared" si="41"/>
        <v>9.0781536000000013E-3</v>
      </c>
      <c r="BQ16" s="153">
        <f t="shared" si="42"/>
        <v>9.0399842469450226E-3</v>
      </c>
      <c r="BR16" s="463"/>
      <c r="BT16" s="147">
        <f t="shared" si="59"/>
        <v>18.118137846945025</v>
      </c>
      <c r="BU16" s="463">
        <f t="shared" si="43"/>
        <v>8.9408000000000011E-4</v>
      </c>
      <c r="BV16" s="463">
        <f t="shared" si="60"/>
        <v>5.0803903999999999E-3</v>
      </c>
      <c r="BW16" s="463">
        <f t="shared" si="44"/>
        <v>3.1662200569011918E-4</v>
      </c>
      <c r="BX16" s="463">
        <f t="shared" si="45"/>
        <v>0</v>
      </c>
      <c r="BY16" s="463">
        <f t="shared" si="46"/>
        <v>7.0495714548083517E-3</v>
      </c>
      <c r="BZ16" s="463">
        <f t="shared" si="61"/>
        <v>6.2910924056901194E-3</v>
      </c>
      <c r="CA16" s="549">
        <f t="shared" si="47"/>
        <v>4.4704000000000011E-3</v>
      </c>
      <c r="CB16" s="147">
        <f t="shared" si="62"/>
        <v>11.519971454808353</v>
      </c>
      <c r="CC16" s="153">
        <f t="shared" si="63"/>
        <v>5.2316587739332135E-2</v>
      </c>
      <c r="CD16" s="5">
        <f t="shared" si="64"/>
        <v>0.39600000000000002</v>
      </c>
      <c r="CE16" s="153">
        <f t="shared" si="65"/>
        <v>0.88330436756056208</v>
      </c>
      <c r="CF16" s="5">
        <f t="shared" si="66"/>
        <v>88.330436756056201</v>
      </c>
      <c r="CG16">
        <f t="shared" si="67"/>
        <v>11</v>
      </c>
      <c r="CI16" s="59">
        <f t="shared" si="48"/>
        <v>-50</v>
      </c>
      <c r="CJ16">
        <f t="shared" si="49"/>
        <v>-50</v>
      </c>
    </row>
    <row r="17" spans="5:88" x14ac:dyDescent="0.25">
      <c r="E17" s="150">
        <v>12</v>
      </c>
      <c r="F17" s="191">
        <f t="shared" si="68"/>
        <v>1.2E-2</v>
      </c>
      <c r="G17" s="191">
        <f t="shared" si="50"/>
        <v>1.2E-2</v>
      </c>
      <c r="H17" s="191">
        <f t="shared" si="0"/>
        <v>0.24</v>
      </c>
      <c r="I17" s="191">
        <f t="shared" si="69"/>
        <v>0.192</v>
      </c>
      <c r="J17" s="472">
        <f t="shared" si="1"/>
        <v>20</v>
      </c>
      <c r="K17" s="386">
        <f t="shared" si="2"/>
        <v>20.32</v>
      </c>
      <c r="L17" s="386">
        <f t="shared" si="3"/>
        <v>40.32</v>
      </c>
      <c r="M17" s="386"/>
      <c r="N17" s="191">
        <f t="shared" si="4"/>
        <v>0.50396825396825395</v>
      </c>
      <c r="O17" s="152">
        <f t="shared" si="51"/>
        <v>1.8898809523809523</v>
      </c>
      <c r="P17" s="152">
        <f t="shared" si="5"/>
        <v>2.7214285714285715</v>
      </c>
      <c r="Q17" s="191">
        <f t="shared" si="6"/>
        <v>9.4494047619047616E-2</v>
      </c>
      <c r="R17" s="191">
        <f t="shared" si="7"/>
        <v>0.11811755952380952</v>
      </c>
      <c r="S17" s="386">
        <f t="shared" si="8"/>
        <v>20</v>
      </c>
      <c r="T17" s="191">
        <f t="shared" si="9"/>
        <v>9.5244094488188977E-2</v>
      </c>
      <c r="U17" s="191">
        <f t="shared" si="10"/>
        <v>0.71433070866141735</v>
      </c>
      <c r="V17" s="191">
        <f t="shared" si="11"/>
        <v>0.70308140616281234</v>
      </c>
      <c r="W17" s="175">
        <f t="shared" si="12"/>
        <v>350</v>
      </c>
      <c r="X17" s="386">
        <f t="shared" si="52"/>
        <v>350</v>
      </c>
      <c r="Z17" s="191">
        <f t="shared" si="13"/>
        <v>0.19198790627362058</v>
      </c>
      <c r="AA17" s="153">
        <f t="shared" si="14"/>
        <v>1.4172335600907029</v>
      </c>
      <c r="AB17" s="153">
        <f t="shared" si="15"/>
        <v>4.7616048182941621E-2</v>
      </c>
      <c r="AC17" s="153"/>
      <c r="AD17" s="153">
        <f t="shared" si="16"/>
        <v>1.1072834645669289</v>
      </c>
      <c r="AE17" s="317">
        <f t="shared" si="17"/>
        <v>144.49777777777777</v>
      </c>
      <c r="AF17" s="463">
        <f t="shared" si="18"/>
        <v>2.9066190944881887E-2</v>
      </c>
      <c r="AH17" s="153">
        <f t="shared" si="19"/>
        <v>0.12828539611796372</v>
      </c>
      <c r="AI17" s="153">
        <f t="shared" si="20"/>
        <v>0.15</v>
      </c>
      <c r="AJ17" s="153">
        <f t="shared" si="21"/>
        <v>1.0825701587301588</v>
      </c>
      <c r="AL17" s="317">
        <f t="shared" si="22"/>
        <v>12</v>
      </c>
      <c r="AM17" s="147">
        <f t="shared" si="23"/>
        <v>144.49777777777777</v>
      </c>
      <c r="AO17">
        <f t="shared" si="53"/>
        <v>12</v>
      </c>
      <c r="AP17" s="147">
        <f t="shared" si="24"/>
        <v>144.49777777777777</v>
      </c>
      <c r="AQ17" s="147"/>
      <c r="AR17" s="5">
        <f t="shared" si="54"/>
        <v>6.9205216535433074</v>
      </c>
      <c r="AS17" s="5">
        <f t="shared" si="25"/>
        <v>1.1249999999999998</v>
      </c>
      <c r="AT17" s="5">
        <f t="shared" si="55"/>
        <v>5.7955216535433074</v>
      </c>
      <c r="AU17" s="153">
        <f t="shared" si="56"/>
        <v>0.16255999999999995</v>
      </c>
      <c r="AW17" s="5">
        <f t="shared" si="26"/>
        <v>1.7236920000000002</v>
      </c>
      <c r="AX17" s="5">
        <f t="shared" si="27"/>
        <v>0.28421164799999998</v>
      </c>
      <c r="AY17" s="5">
        <f t="shared" si="28"/>
        <v>1.7372910952321905</v>
      </c>
      <c r="AZ17" s="5">
        <f t="shared" si="29"/>
        <v>0.2059417583370439</v>
      </c>
      <c r="BA17" s="5">
        <f t="shared" si="30"/>
        <v>0.13909251968503938</v>
      </c>
      <c r="BB17" s="147">
        <f t="shared" si="31"/>
        <v>13.981251968503937</v>
      </c>
      <c r="BC17" s="5"/>
      <c r="BD17" s="153">
        <f t="shared" si="57"/>
        <v>3.491704454847231E-2</v>
      </c>
      <c r="BE17" s="153">
        <f t="shared" si="32"/>
        <v>7.9251498408547449E-2</v>
      </c>
      <c r="BF17" s="153">
        <f t="shared" si="33"/>
        <v>7.8940708218710021E-2</v>
      </c>
      <c r="BG17" s="153"/>
      <c r="BH17" s="463">
        <f t="shared" si="34"/>
        <v>4.2671999999999995E-4</v>
      </c>
      <c r="BI17" s="463">
        <f t="shared" si="35"/>
        <v>4.3696127999999996E-3</v>
      </c>
      <c r="BJ17" s="463">
        <f t="shared" si="36"/>
        <v>1.8062222222222219E-3</v>
      </c>
      <c r="BK17" s="463">
        <f t="shared" si="37"/>
        <v>1.1745519206400001E-2</v>
      </c>
      <c r="BL17">
        <f t="shared" si="38"/>
        <v>5.7999999999999996E-3</v>
      </c>
      <c r="BM17">
        <f t="shared" si="39"/>
        <v>5.4186666666666661E-6</v>
      </c>
      <c r="BN17">
        <f t="shared" si="40"/>
        <v>2.4213006381407214E-2</v>
      </c>
      <c r="BO17" s="147">
        <f t="shared" si="58"/>
        <v>24.213006381407215</v>
      </c>
      <c r="BP17" s="153">
        <f t="shared" si="41"/>
        <v>9.3825312000000004E-3</v>
      </c>
      <c r="BQ17" s="153">
        <f t="shared" si="42"/>
        <v>9.3449694563506359E-3</v>
      </c>
      <c r="BR17" s="463"/>
      <c r="BT17" s="147">
        <f t="shared" si="59"/>
        <v>18.727500656350635</v>
      </c>
      <c r="BU17" s="463">
        <f t="shared" si="43"/>
        <v>9.7535999999999999E-4</v>
      </c>
      <c r="BV17" s="463">
        <f t="shared" si="60"/>
        <v>4.9995167999999993E-3</v>
      </c>
      <c r="BW17" s="463">
        <f t="shared" si="44"/>
        <v>3.1158177070357562E-4</v>
      </c>
      <c r="BX17" s="463">
        <f t="shared" si="45"/>
        <v>0</v>
      </c>
      <c r="BY17" s="463">
        <f t="shared" si="46"/>
        <v>7.044376333586207E-3</v>
      </c>
      <c r="BZ17" s="463">
        <f t="shared" si="61"/>
        <v>6.2864585707035747E-3</v>
      </c>
      <c r="CA17" s="549">
        <f t="shared" si="47"/>
        <v>4.8767999999999997E-3</v>
      </c>
      <c r="CB17" s="147">
        <f t="shared" si="62"/>
        <v>11.921176333586207</v>
      </c>
      <c r="CC17" s="153">
        <f t="shared" si="63"/>
        <v>5.4861683371344061E-2</v>
      </c>
      <c r="CD17" s="5">
        <f t="shared" si="64"/>
        <v>0.432</v>
      </c>
      <c r="CE17" s="153">
        <f t="shared" si="65"/>
        <v>0.88731566840206766</v>
      </c>
      <c r="CF17" s="5">
        <f t="shared" si="66"/>
        <v>88.731566840206767</v>
      </c>
      <c r="CG17">
        <f t="shared" si="67"/>
        <v>12</v>
      </c>
      <c r="CI17" s="59">
        <f t="shared" si="48"/>
        <v>-50</v>
      </c>
      <c r="CJ17">
        <f t="shared" si="49"/>
        <v>-50</v>
      </c>
    </row>
    <row r="18" spans="5:88" x14ac:dyDescent="0.25">
      <c r="E18" s="150">
        <v>13</v>
      </c>
      <c r="F18" s="191">
        <f t="shared" si="68"/>
        <v>1.3000000000000001E-2</v>
      </c>
      <c r="G18" s="191">
        <f t="shared" si="50"/>
        <v>1.3000000000000001E-2</v>
      </c>
      <c r="H18" s="191">
        <f t="shared" si="0"/>
        <v>0.26</v>
      </c>
      <c r="I18" s="191">
        <f t="shared" si="69"/>
        <v>0.20800000000000002</v>
      </c>
      <c r="J18" s="472">
        <f t="shared" si="1"/>
        <v>20</v>
      </c>
      <c r="K18" s="386">
        <f t="shared" si="2"/>
        <v>20.32</v>
      </c>
      <c r="L18" s="386">
        <f t="shared" si="3"/>
        <v>40.32</v>
      </c>
      <c r="M18" s="386"/>
      <c r="N18" s="191">
        <f t="shared" si="4"/>
        <v>0.50396825396825395</v>
      </c>
      <c r="O18" s="152">
        <f t="shared" si="51"/>
        <v>1.8898809523809523</v>
      </c>
      <c r="P18" s="152">
        <f t="shared" si="5"/>
        <v>2.7214285714285715</v>
      </c>
      <c r="Q18" s="191">
        <f t="shared" si="6"/>
        <v>9.4494047619047616E-2</v>
      </c>
      <c r="R18" s="191">
        <f t="shared" si="7"/>
        <v>0.11811755952380952</v>
      </c>
      <c r="S18" s="386">
        <f t="shared" si="8"/>
        <v>20</v>
      </c>
      <c r="T18" s="191">
        <f t="shared" si="9"/>
        <v>0.10318110236220474</v>
      </c>
      <c r="U18" s="191">
        <f t="shared" si="10"/>
        <v>0.77385826771653554</v>
      </c>
      <c r="V18" s="191">
        <f t="shared" si="11"/>
        <v>0.76167152334304677</v>
      </c>
      <c r="W18" s="175">
        <f t="shared" si="12"/>
        <v>350</v>
      </c>
      <c r="X18" s="386">
        <f t="shared" si="52"/>
        <v>350</v>
      </c>
      <c r="Z18" s="191">
        <f t="shared" si="13"/>
        <v>0.19198790627362058</v>
      </c>
      <c r="AA18" s="153">
        <f t="shared" si="14"/>
        <v>1.4172335600907029</v>
      </c>
      <c r="AB18" s="153">
        <f t="shared" si="15"/>
        <v>4.7616048182941621E-2</v>
      </c>
      <c r="AC18" s="153"/>
      <c r="AD18" s="153">
        <f t="shared" si="16"/>
        <v>1.1072834645669289</v>
      </c>
      <c r="AE18" s="317">
        <f t="shared" si="17"/>
        <v>156.53925925925927</v>
      </c>
      <c r="AF18" s="463">
        <f t="shared" si="18"/>
        <v>2.9066190944881887E-2</v>
      </c>
      <c r="AH18" s="153">
        <f t="shared" si="19"/>
        <v>0.13352367366340484</v>
      </c>
      <c r="AI18" s="153">
        <f t="shared" si="20"/>
        <v>0.15</v>
      </c>
      <c r="AJ18" s="153">
        <f t="shared" si="21"/>
        <v>1.0894510052910054</v>
      </c>
      <c r="AL18" s="317">
        <f t="shared" si="22"/>
        <v>13.000000000000002</v>
      </c>
      <c r="AM18" s="147">
        <f t="shared" si="23"/>
        <v>156.53925925925927</v>
      </c>
      <c r="AO18">
        <f t="shared" si="53"/>
        <v>13.000000000000002</v>
      </c>
      <c r="AP18" s="147">
        <f t="shared" si="24"/>
        <v>156.53925925925927</v>
      </c>
      <c r="AQ18" s="147"/>
      <c r="AR18" s="5">
        <f t="shared" si="54"/>
        <v>6.3881738340399759</v>
      </c>
      <c r="AS18" s="5">
        <f t="shared" si="25"/>
        <v>1.1249999999999998</v>
      </c>
      <c r="AT18" s="5">
        <f t="shared" si="55"/>
        <v>5.2631738340399759</v>
      </c>
      <c r="AU18" s="153">
        <f t="shared" si="56"/>
        <v>0.17610666666666663</v>
      </c>
      <c r="AW18" s="5">
        <f t="shared" si="26"/>
        <v>1.7236920000000002</v>
      </c>
      <c r="AX18" s="5">
        <f t="shared" si="27"/>
        <v>0.33030394800000007</v>
      </c>
      <c r="AY18" s="5">
        <f t="shared" si="28"/>
        <v>1.7372910952321905</v>
      </c>
      <c r="AZ18" s="5">
        <f t="shared" si="29"/>
        <v>0.23952886915944746</v>
      </c>
      <c r="BA18" s="5">
        <f t="shared" si="30"/>
        <v>0.13684251968503938</v>
      </c>
      <c r="BB18" s="147">
        <f t="shared" si="31"/>
        <v>13.762251968503934</v>
      </c>
      <c r="BC18" s="5"/>
      <c r="BD18" s="153">
        <f t="shared" si="57"/>
        <v>3.6342812219199543E-2</v>
      </c>
      <c r="BE18" s="153">
        <f t="shared" si="32"/>
        <v>7.8607887644943114E-2</v>
      </c>
      <c r="BF18" s="153">
        <f t="shared" si="33"/>
        <v>7.8299621418884524E-2</v>
      </c>
      <c r="BG18" s="153"/>
      <c r="BH18" s="463">
        <f t="shared" si="34"/>
        <v>4.6227999999999981E-4</v>
      </c>
      <c r="BI18" s="463">
        <f t="shared" si="35"/>
        <v>4.7337472E-3</v>
      </c>
      <c r="BJ18" s="463">
        <f t="shared" si="36"/>
        <v>1.9567407407407407E-3</v>
      </c>
      <c r="BK18" s="463">
        <f t="shared" si="37"/>
        <v>1.2724312473600003E-2</v>
      </c>
      <c r="BL18">
        <f t="shared" si="38"/>
        <v>5.7999999999999996E-3</v>
      </c>
      <c r="BM18">
        <f t="shared" si="39"/>
        <v>5.8702222222222221E-6</v>
      </c>
      <c r="BN18">
        <f t="shared" si="40"/>
        <v>2.5747554462476455E-2</v>
      </c>
      <c r="BO18" s="147">
        <f t="shared" si="58"/>
        <v>25.747554462476455</v>
      </c>
      <c r="BP18" s="153">
        <f t="shared" si="41"/>
        <v>9.6869087999999996E-3</v>
      </c>
      <c r="BQ18" s="153">
        <f t="shared" si="42"/>
        <v>9.649954665756251E-3</v>
      </c>
      <c r="BR18" s="463"/>
      <c r="BT18" s="147">
        <f t="shared" si="59"/>
        <v>19.336863465756249</v>
      </c>
      <c r="BU18" s="463">
        <f t="shared" si="43"/>
        <v>1.0566399999999997E-3</v>
      </c>
      <c r="BV18" s="463">
        <f t="shared" si="60"/>
        <v>4.9186432000000004E-3</v>
      </c>
      <c r="BW18" s="463">
        <f t="shared" si="44"/>
        <v>3.0654153571703201E-4</v>
      </c>
      <c r="BX18" s="463">
        <f t="shared" si="45"/>
        <v>0</v>
      </c>
      <c r="BY18" s="463">
        <f t="shared" si="46"/>
        <v>7.0391812162177358E-3</v>
      </c>
      <c r="BZ18" s="463">
        <f t="shared" si="61"/>
        <v>6.2818247357170325E-3</v>
      </c>
      <c r="CA18" s="549">
        <f t="shared" si="47"/>
        <v>5.2832000000000009E-3</v>
      </c>
      <c r="CB18" s="147">
        <f t="shared" si="62"/>
        <v>12.322381216217737</v>
      </c>
      <c r="CC18" s="153">
        <f t="shared" si="63"/>
        <v>5.7406799144450446E-2</v>
      </c>
      <c r="CD18" s="5">
        <f t="shared" si="64"/>
        <v>0.46800000000000003</v>
      </c>
      <c r="CE18" s="153">
        <f t="shared" si="65"/>
        <v>0.89073837788561327</v>
      </c>
      <c r="CF18" s="5">
        <f t="shared" si="66"/>
        <v>89.07383778856132</v>
      </c>
      <c r="CG18">
        <f t="shared" si="67"/>
        <v>13</v>
      </c>
      <c r="CI18" s="59">
        <f t="shared" si="48"/>
        <v>-50</v>
      </c>
      <c r="CJ18">
        <f t="shared" si="49"/>
        <v>-50</v>
      </c>
    </row>
    <row r="19" spans="5:88" x14ac:dyDescent="0.25">
      <c r="E19" s="150">
        <v>14</v>
      </c>
      <c r="F19" s="191">
        <f t="shared" si="68"/>
        <v>1.4000000000000002E-2</v>
      </c>
      <c r="G19" s="191">
        <f t="shared" si="50"/>
        <v>1.4000000000000002E-2</v>
      </c>
      <c r="H19" s="191">
        <f t="shared" si="0"/>
        <v>0.28000000000000003</v>
      </c>
      <c r="I19" s="191">
        <f t="shared" si="69"/>
        <v>0.22400000000000003</v>
      </c>
      <c r="J19" s="472">
        <f t="shared" si="1"/>
        <v>20</v>
      </c>
      <c r="K19" s="386">
        <f t="shared" si="2"/>
        <v>20.32</v>
      </c>
      <c r="L19" s="386">
        <f t="shared" si="3"/>
        <v>40.32</v>
      </c>
      <c r="M19" s="386"/>
      <c r="N19" s="191">
        <f t="shared" si="4"/>
        <v>0.50396825396825395</v>
      </c>
      <c r="O19" s="152">
        <f t="shared" si="51"/>
        <v>1.8898809523809523</v>
      </c>
      <c r="P19" s="152">
        <f t="shared" si="5"/>
        <v>2.7214285714285715</v>
      </c>
      <c r="Q19" s="191">
        <f t="shared" si="6"/>
        <v>9.4494047619047616E-2</v>
      </c>
      <c r="R19" s="191">
        <f t="shared" si="7"/>
        <v>0.11811755952380952</v>
      </c>
      <c r="S19" s="386">
        <f t="shared" si="8"/>
        <v>20</v>
      </c>
      <c r="T19" s="191">
        <f t="shared" si="9"/>
        <v>0.11111811023622048</v>
      </c>
      <c r="U19" s="191">
        <f t="shared" si="10"/>
        <v>0.83338582677165352</v>
      </c>
      <c r="V19" s="191">
        <f t="shared" si="11"/>
        <v>0.8202616405232811</v>
      </c>
      <c r="W19" s="175">
        <f t="shared" si="12"/>
        <v>350</v>
      </c>
      <c r="X19" s="386">
        <f t="shared" si="52"/>
        <v>350</v>
      </c>
      <c r="Z19" s="191">
        <f t="shared" si="13"/>
        <v>0.19198790627362058</v>
      </c>
      <c r="AA19" s="153">
        <f t="shared" si="14"/>
        <v>1.4172335600907029</v>
      </c>
      <c r="AB19" s="153">
        <f t="shared" si="15"/>
        <v>4.7616048182941621E-2</v>
      </c>
      <c r="AC19" s="153"/>
      <c r="AD19" s="153">
        <f t="shared" si="16"/>
        <v>1.1072834645669289</v>
      </c>
      <c r="AE19" s="317">
        <f t="shared" si="17"/>
        <v>168.58074074074079</v>
      </c>
      <c r="AF19" s="463">
        <f t="shared" si="18"/>
        <v>2.9066190944881887E-2</v>
      </c>
      <c r="AH19" s="153">
        <f t="shared" si="19"/>
        <v>0.13856406460551018</v>
      </c>
      <c r="AI19" s="153">
        <f t="shared" si="20"/>
        <v>0.15</v>
      </c>
      <c r="AJ19" s="153">
        <f t="shared" si="21"/>
        <v>1.0963318518518519</v>
      </c>
      <c r="AL19" s="317">
        <f t="shared" si="22"/>
        <v>14.000000000000002</v>
      </c>
      <c r="AM19" s="147">
        <f t="shared" si="23"/>
        <v>168.58074074074079</v>
      </c>
      <c r="AO19">
        <f t="shared" si="53"/>
        <v>14.000000000000002</v>
      </c>
      <c r="AP19" s="147">
        <f t="shared" si="24"/>
        <v>168.58074074074079</v>
      </c>
      <c r="AQ19" s="147"/>
      <c r="AR19" s="5">
        <f t="shared" si="54"/>
        <v>5.931875703037119</v>
      </c>
      <c r="AS19" s="5">
        <f t="shared" si="25"/>
        <v>1.1249999999999998</v>
      </c>
      <c r="AT19" s="5">
        <f t="shared" si="55"/>
        <v>4.806875703037119</v>
      </c>
      <c r="AU19" s="153">
        <f t="shared" si="56"/>
        <v>0.18965333333333334</v>
      </c>
      <c r="AW19" s="5">
        <f t="shared" si="26"/>
        <v>1.7236920000000002</v>
      </c>
      <c r="AX19" s="5">
        <f t="shared" si="27"/>
        <v>0.37984363200000004</v>
      </c>
      <c r="AY19" s="5">
        <f t="shared" si="28"/>
        <v>1.7372910952321905</v>
      </c>
      <c r="AZ19" s="5">
        <f t="shared" si="29"/>
        <v>0.27564294884764318</v>
      </c>
      <c r="BA19" s="5">
        <f t="shared" si="30"/>
        <v>0.13459251968503932</v>
      </c>
      <c r="BB19" s="147">
        <f t="shared" si="31"/>
        <v>13.543251968503933</v>
      </c>
      <c r="BC19" s="5"/>
      <c r="BD19" s="153">
        <f t="shared" si="57"/>
        <v>3.771471861223414E-2</v>
      </c>
      <c r="BE19" s="153">
        <f t="shared" si="32"/>
        <v>7.7958963564172659E-2</v>
      </c>
      <c r="BF19" s="153">
        <f t="shared" si="33"/>
        <v>7.765324213843082E-2</v>
      </c>
      <c r="BG19" s="153"/>
      <c r="BH19" s="463">
        <f t="shared" si="34"/>
        <v>4.9784000000000004E-4</v>
      </c>
      <c r="BI19" s="463">
        <f t="shared" si="35"/>
        <v>5.0978816000000014E-3</v>
      </c>
      <c r="BJ19" s="463">
        <f t="shared" si="36"/>
        <v>2.1072592592592597E-3</v>
      </c>
      <c r="BK19" s="463">
        <f t="shared" si="37"/>
        <v>1.3703105740800008E-2</v>
      </c>
      <c r="BL19">
        <f t="shared" si="38"/>
        <v>5.7999999999999996E-3</v>
      </c>
      <c r="BM19">
        <f t="shared" si="39"/>
        <v>6.3217777777777799E-6</v>
      </c>
      <c r="BN19">
        <f t="shared" si="40"/>
        <v>2.7282122681182856E-2</v>
      </c>
      <c r="BO19" s="147">
        <f t="shared" si="58"/>
        <v>27.282122681182855</v>
      </c>
      <c r="BP19" s="153">
        <f t="shared" si="41"/>
        <v>9.9912864000000021E-3</v>
      </c>
      <c r="BQ19" s="153">
        <f t="shared" si="42"/>
        <v>9.9549398751618643E-3</v>
      </c>
      <c r="BR19" s="463"/>
      <c r="BT19" s="147">
        <f t="shared" si="59"/>
        <v>19.946226275161866</v>
      </c>
      <c r="BU19" s="463">
        <f t="shared" si="43"/>
        <v>1.1379200000000004E-3</v>
      </c>
      <c r="BV19" s="463">
        <f t="shared" si="60"/>
        <v>4.8377695999999998E-3</v>
      </c>
      <c r="BW19" s="463">
        <f t="shared" si="44"/>
        <v>3.0150130073048844E-4</v>
      </c>
      <c r="BX19" s="463">
        <f t="shared" si="45"/>
        <v>0</v>
      </c>
      <c r="BY19" s="463">
        <f t="shared" si="46"/>
        <v>7.0339861027029276E-3</v>
      </c>
      <c r="BZ19" s="463">
        <f t="shared" si="61"/>
        <v>6.2771909007304887E-3</v>
      </c>
      <c r="CA19" s="549">
        <f t="shared" si="47"/>
        <v>5.6896000000000021E-3</v>
      </c>
      <c r="CB19" s="147">
        <f t="shared" si="62"/>
        <v>12.72358610270293</v>
      </c>
      <c r="CC19" s="153">
        <f t="shared" si="63"/>
        <v>5.9951935059047654E-2</v>
      </c>
      <c r="CD19" s="5">
        <f t="shared" si="64"/>
        <v>0.504</v>
      </c>
      <c r="CE19" s="153">
        <f t="shared" si="65"/>
        <v>0.89369318317389856</v>
      </c>
      <c r="CF19" s="5">
        <f t="shared" si="66"/>
        <v>89.369318317389855</v>
      </c>
      <c r="CG19">
        <f t="shared" si="67"/>
        <v>14.000000000000002</v>
      </c>
      <c r="CI19" s="59">
        <f t="shared" si="48"/>
        <v>-50</v>
      </c>
      <c r="CJ19">
        <f t="shared" si="49"/>
        <v>-50</v>
      </c>
    </row>
    <row r="20" spans="5:88" x14ac:dyDescent="0.25">
      <c r="E20" s="150">
        <v>15</v>
      </c>
      <c r="F20" s="191">
        <f t="shared" si="68"/>
        <v>1.4999999999999999E-2</v>
      </c>
      <c r="G20" s="191">
        <f t="shared" si="50"/>
        <v>1.4999999999999999E-2</v>
      </c>
      <c r="H20" s="191">
        <f t="shared" si="0"/>
        <v>0.3</v>
      </c>
      <c r="I20" s="191">
        <f t="shared" si="69"/>
        <v>0.24</v>
      </c>
      <c r="J20" s="472">
        <f t="shared" si="1"/>
        <v>20</v>
      </c>
      <c r="K20" s="386">
        <f t="shared" si="2"/>
        <v>20.32</v>
      </c>
      <c r="L20" s="386">
        <f t="shared" si="3"/>
        <v>40.32</v>
      </c>
      <c r="M20" s="386"/>
      <c r="N20" s="191">
        <f t="shared" si="4"/>
        <v>0.50396825396825395</v>
      </c>
      <c r="O20" s="152">
        <f t="shared" si="51"/>
        <v>1.8898809523809523</v>
      </c>
      <c r="P20" s="152">
        <f t="shared" si="5"/>
        <v>2.7214285714285715</v>
      </c>
      <c r="Q20" s="191">
        <f t="shared" si="6"/>
        <v>9.4494047619047616E-2</v>
      </c>
      <c r="R20" s="191">
        <f t="shared" si="7"/>
        <v>0.11811755952380952</v>
      </c>
      <c r="S20" s="386">
        <f t="shared" si="8"/>
        <v>20</v>
      </c>
      <c r="T20" s="191">
        <f t="shared" si="9"/>
        <v>0.11905511811023624</v>
      </c>
      <c r="U20" s="191">
        <f t="shared" si="10"/>
        <v>0.89291338582677171</v>
      </c>
      <c r="V20" s="191">
        <f t="shared" si="11"/>
        <v>0.87885175770351542</v>
      </c>
      <c r="W20" s="175">
        <f t="shared" si="12"/>
        <v>350</v>
      </c>
      <c r="X20" s="386">
        <f t="shared" si="52"/>
        <v>350</v>
      </c>
      <c r="Z20" s="191">
        <f t="shared" si="13"/>
        <v>0.19198790627362058</v>
      </c>
      <c r="AA20" s="153">
        <f t="shared" si="14"/>
        <v>1.4172335600907029</v>
      </c>
      <c r="AB20" s="153">
        <f t="shared" si="15"/>
        <v>4.7616048182941621E-2</v>
      </c>
      <c r="AC20" s="153"/>
      <c r="AD20" s="153">
        <f t="shared" si="16"/>
        <v>1.1072834645669289</v>
      </c>
      <c r="AE20" s="317">
        <f t="shared" si="17"/>
        <v>180.62222222222221</v>
      </c>
      <c r="AF20" s="463">
        <f t="shared" si="18"/>
        <v>2.9066190944881887E-2</v>
      </c>
      <c r="AH20" s="153">
        <f t="shared" si="19"/>
        <v>0.14342743312012723</v>
      </c>
      <c r="AI20" s="153">
        <f t="shared" si="20"/>
        <v>0.15</v>
      </c>
      <c r="AJ20" s="153">
        <f t="shared" si="21"/>
        <v>1.1032126984126984</v>
      </c>
      <c r="AL20" s="317">
        <f t="shared" si="22"/>
        <v>15</v>
      </c>
      <c r="AM20" s="147">
        <f t="shared" si="23"/>
        <v>180.62222222222221</v>
      </c>
      <c r="AO20">
        <f t="shared" si="53"/>
        <v>15</v>
      </c>
      <c r="AP20" s="147">
        <f t="shared" si="24"/>
        <v>180.62222222222221</v>
      </c>
      <c r="AQ20" s="147"/>
      <c r="AR20" s="5">
        <f t="shared" si="54"/>
        <v>5.5364173228346463</v>
      </c>
      <c r="AS20" s="5">
        <f t="shared" si="25"/>
        <v>1.1249999999999998</v>
      </c>
      <c r="AT20" s="5">
        <f t="shared" si="55"/>
        <v>4.4114173228346463</v>
      </c>
      <c r="AU20" s="153">
        <f t="shared" si="56"/>
        <v>0.20319999999999994</v>
      </c>
      <c r="AW20" s="5">
        <f t="shared" si="26"/>
        <v>1.7236920000000002</v>
      </c>
      <c r="AX20" s="5">
        <f t="shared" si="27"/>
        <v>0.43283069999999985</v>
      </c>
      <c r="AY20" s="5">
        <f t="shared" si="28"/>
        <v>1.7372910952321905</v>
      </c>
      <c r="AZ20" s="5">
        <f t="shared" si="29"/>
        <v>0.31428399740163104</v>
      </c>
      <c r="BA20" s="5">
        <f t="shared" si="30"/>
        <v>0.13234251968503938</v>
      </c>
      <c r="BB20" s="147">
        <f t="shared" si="31"/>
        <v>13.32425196850394</v>
      </c>
      <c r="BC20" s="5"/>
      <c r="BD20" s="153">
        <f t="shared" si="57"/>
        <v>3.9038442591886262E-2</v>
      </c>
      <c r="BE20" s="153">
        <f t="shared" si="32"/>
        <v>7.7304592360350755E-2</v>
      </c>
      <c r="BF20" s="153">
        <f t="shared" si="33"/>
        <v>7.7001437096192532E-2</v>
      </c>
      <c r="BG20" s="153"/>
      <c r="BH20" s="463">
        <f t="shared" si="34"/>
        <v>5.3339999999999974E-4</v>
      </c>
      <c r="BI20" s="463">
        <f t="shared" si="35"/>
        <v>5.4620160000000001E-3</v>
      </c>
      <c r="BJ20" s="463">
        <f t="shared" si="36"/>
        <v>2.2577777777777774E-3</v>
      </c>
      <c r="BK20" s="463">
        <f t="shared" si="37"/>
        <v>1.4681899008E-2</v>
      </c>
      <c r="BL20">
        <f t="shared" si="38"/>
        <v>5.7999999999999996E-3</v>
      </c>
      <c r="BM20">
        <f t="shared" si="39"/>
        <v>6.7733333333333326E-6</v>
      </c>
      <c r="BN20">
        <f t="shared" si="40"/>
        <v>2.8816711037922788E-2</v>
      </c>
      <c r="BO20" s="147">
        <f t="shared" si="58"/>
        <v>28.81671103792279</v>
      </c>
      <c r="BP20" s="153">
        <f t="shared" si="41"/>
        <v>1.0295664E-2</v>
      </c>
      <c r="BQ20" s="153">
        <f t="shared" si="42"/>
        <v>1.0259925084567476E-2</v>
      </c>
      <c r="BR20" s="463"/>
      <c r="BT20" s="147">
        <f t="shared" si="59"/>
        <v>20.555589084567476</v>
      </c>
      <c r="BU20" s="463">
        <f t="shared" si="43"/>
        <v>1.2191999999999995E-3</v>
      </c>
      <c r="BV20" s="463">
        <f t="shared" si="60"/>
        <v>4.7568960000000009E-3</v>
      </c>
      <c r="BW20" s="463">
        <f t="shared" si="44"/>
        <v>2.9646106574394483E-4</v>
      </c>
      <c r="BX20" s="463">
        <f t="shared" si="45"/>
        <v>0</v>
      </c>
      <c r="BY20" s="463">
        <f t="shared" si="46"/>
        <v>7.0287909930417825E-3</v>
      </c>
      <c r="BZ20" s="463">
        <f t="shared" si="61"/>
        <v>6.2725570657439448E-3</v>
      </c>
      <c r="CA20" s="549">
        <f t="shared" si="47"/>
        <v>6.0959999999999999E-3</v>
      </c>
      <c r="CB20" s="147">
        <f t="shared" si="62"/>
        <v>13.124790993041781</v>
      </c>
      <c r="CC20" s="153">
        <f t="shared" si="63"/>
        <v>6.249709111553204E-2</v>
      </c>
      <c r="CD20" s="5">
        <f t="shared" si="64"/>
        <v>0.54</v>
      </c>
      <c r="CE20" s="153">
        <f t="shared" si="65"/>
        <v>0.89626988737851365</v>
      </c>
      <c r="CF20" s="5">
        <f t="shared" si="66"/>
        <v>89.626988737851363</v>
      </c>
      <c r="CG20">
        <f t="shared" si="67"/>
        <v>15</v>
      </c>
      <c r="CI20" s="59">
        <f t="shared" si="48"/>
        <v>-50</v>
      </c>
      <c r="CJ20">
        <f t="shared" si="49"/>
        <v>-50</v>
      </c>
    </row>
    <row r="21" spans="5:88" s="59" customFormat="1" x14ac:dyDescent="0.25">
      <c r="E21" s="150">
        <v>16</v>
      </c>
      <c r="F21" s="191">
        <f t="shared" si="68"/>
        <v>1.6E-2</v>
      </c>
      <c r="G21" s="191">
        <f t="shared" si="50"/>
        <v>1.6E-2</v>
      </c>
      <c r="H21" s="191">
        <f t="shared" si="0"/>
        <v>0.32</v>
      </c>
      <c r="I21" s="191">
        <f t="shared" si="69"/>
        <v>0.25600000000000001</v>
      </c>
      <c r="J21" s="472">
        <f t="shared" si="1"/>
        <v>20</v>
      </c>
      <c r="K21" s="386">
        <f t="shared" si="2"/>
        <v>20.32</v>
      </c>
      <c r="L21" s="386">
        <f t="shared" si="3"/>
        <v>40.32</v>
      </c>
      <c r="M21" s="386"/>
      <c r="N21" s="191">
        <f t="shared" si="4"/>
        <v>0.50396825396825395</v>
      </c>
      <c r="O21" s="152">
        <f t="shared" si="51"/>
        <v>1.8898809523809523</v>
      </c>
      <c r="P21" s="152">
        <f t="shared" si="5"/>
        <v>2.7214285714285715</v>
      </c>
      <c r="Q21" s="191">
        <f t="shared" si="6"/>
        <v>9.4494047619047616E-2</v>
      </c>
      <c r="R21" s="191">
        <f t="shared" si="7"/>
        <v>0.11811755952380952</v>
      </c>
      <c r="S21" s="386">
        <f t="shared" si="8"/>
        <v>20</v>
      </c>
      <c r="T21" s="191">
        <f t="shared" si="9"/>
        <v>0.126992125984252</v>
      </c>
      <c r="U21" s="191">
        <f t="shared" si="10"/>
        <v>0.95244094488188991</v>
      </c>
      <c r="V21" s="191">
        <f t="shared" si="11"/>
        <v>0.93744187488374986</v>
      </c>
      <c r="W21" s="175">
        <f t="shared" si="12"/>
        <v>350</v>
      </c>
      <c r="X21" s="386">
        <f t="shared" si="52"/>
        <v>350</v>
      </c>
      <c r="Z21" s="191">
        <f t="shared" si="13"/>
        <v>0.19198790627362058</v>
      </c>
      <c r="AA21" s="153">
        <f t="shared" si="14"/>
        <v>1.4172335600907029</v>
      </c>
      <c r="AB21" s="153">
        <f t="shared" si="15"/>
        <v>4.7616048182941621E-2</v>
      </c>
      <c r="AC21" s="469"/>
      <c r="AD21" s="153">
        <f t="shared" si="16"/>
        <v>1.1072834645669289</v>
      </c>
      <c r="AE21" s="317">
        <f t="shared" si="17"/>
        <v>192.6637037037037</v>
      </c>
      <c r="AF21" s="463">
        <f t="shared" si="18"/>
        <v>2.9066190944881887E-2</v>
      </c>
      <c r="AG21"/>
      <c r="AH21" s="153">
        <f t="shared" si="19"/>
        <v>0.14813121596360826</v>
      </c>
      <c r="AI21" s="153">
        <f t="shared" si="20"/>
        <v>0.15</v>
      </c>
      <c r="AJ21" s="153">
        <f t="shared" si="21"/>
        <v>1.110093544973545</v>
      </c>
      <c r="AL21" s="317">
        <f t="shared" si="22"/>
        <v>16</v>
      </c>
      <c r="AM21" s="147">
        <f t="shared" si="23"/>
        <v>192.6637037037037</v>
      </c>
      <c r="AO21">
        <f t="shared" si="53"/>
        <v>16</v>
      </c>
      <c r="AP21" s="147">
        <f t="shared" si="24"/>
        <v>192.6637037037037</v>
      </c>
      <c r="AQ21" s="147"/>
      <c r="AR21" s="5">
        <f t="shared" si="54"/>
        <v>5.1903912401574805</v>
      </c>
      <c r="AS21" s="5">
        <f t="shared" si="25"/>
        <v>1.1249999999999998</v>
      </c>
      <c r="AT21" s="5">
        <f t="shared" si="55"/>
        <v>4.0653912401574805</v>
      </c>
      <c r="AU21" s="153">
        <f t="shared" si="56"/>
        <v>0.21674666666666662</v>
      </c>
      <c r="AW21" s="5">
        <f t="shared" si="26"/>
        <v>1.7236920000000002</v>
      </c>
      <c r="AX21" s="5">
        <f t="shared" si="27"/>
        <v>0.48926515199999981</v>
      </c>
      <c r="AY21" s="5">
        <f t="shared" si="28"/>
        <v>1.7372910952321905</v>
      </c>
      <c r="AZ21" s="5">
        <f t="shared" si="29"/>
        <v>0.35545201482141131</v>
      </c>
      <c r="BA21" s="5">
        <f t="shared" si="30"/>
        <v>0.13009251968503938</v>
      </c>
      <c r="BB21" s="147">
        <f t="shared" si="31"/>
        <v>13.105251968503939</v>
      </c>
      <c r="BC21" s="5"/>
      <c r="BD21" s="153">
        <f t="shared" si="57"/>
        <v>4.0318730138733279E-2</v>
      </c>
      <c r="BE21" s="153">
        <f t="shared" si="32"/>
        <v>7.664463451540493E-2</v>
      </c>
      <c r="BF21" s="153">
        <f t="shared" si="33"/>
        <v>7.634406732122688E-2</v>
      </c>
      <c r="BG21" s="153"/>
      <c r="BH21" s="463">
        <f t="shared" si="34"/>
        <v>5.6895999999999965E-4</v>
      </c>
      <c r="BI21" s="463">
        <f t="shared" si="35"/>
        <v>5.8261504000000006E-3</v>
      </c>
      <c r="BJ21" s="463">
        <f t="shared" si="36"/>
        <v>2.4082962962962964E-3</v>
      </c>
      <c r="BK21" s="463">
        <f t="shared" si="37"/>
        <v>1.5660692275200006E-2</v>
      </c>
      <c r="BL21">
        <f t="shared" si="38"/>
        <v>5.7999999999999996E-3</v>
      </c>
      <c r="BM21">
        <f t="shared" si="39"/>
        <v>7.2248888888888886E-6</v>
      </c>
      <c r="BN21">
        <f t="shared" si="40"/>
        <v>3.0351319533092697E-2</v>
      </c>
      <c r="BO21" s="147">
        <f t="shared" si="58"/>
        <v>30.351319533092695</v>
      </c>
      <c r="BP21" s="153">
        <f t="shared" si="41"/>
        <v>1.06000416E-2</v>
      </c>
      <c r="BQ21" s="153">
        <f t="shared" si="42"/>
        <v>1.0564910293973089E-2</v>
      </c>
      <c r="BR21" s="463"/>
      <c r="BT21" s="147">
        <f t="shared" si="59"/>
        <v>21.16495189397309</v>
      </c>
      <c r="BU21" s="463">
        <f t="shared" si="43"/>
        <v>1.3004799999999995E-3</v>
      </c>
      <c r="BV21" s="463">
        <f t="shared" si="60"/>
        <v>4.6760224000000012E-3</v>
      </c>
      <c r="BW21" s="463">
        <f t="shared" si="44"/>
        <v>2.914208307574011E-4</v>
      </c>
      <c r="BX21" s="463">
        <f t="shared" si="45"/>
        <v>0</v>
      </c>
      <c r="BY21" s="463">
        <f t="shared" si="46"/>
        <v>7.0235958872342944E-3</v>
      </c>
      <c r="BZ21" s="463">
        <f t="shared" si="61"/>
        <v>6.2679232307574018E-3</v>
      </c>
      <c r="CA21" s="549">
        <f t="shared" si="47"/>
        <v>6.5024000000000002E-3</v>
      </c>
      <c r="CB21" s="147">
        <f t="shared" si="62"/>
        <v>13.525995887234295</v>
      </c>
      <c r="CC21" s="153">
        <f t="shared" si="63"/>
        <v>6.5042267314300087E-2</v>
      </c>
      <c r="CD21" s="5">
        <f t="shared" si="64"/>
        <v>0.57600000000000007</v>
      </c>
      <c r="CE21" s="153">
        <f t="shared" si="65"/>
        <v>0.89853669464448882</v>
      </c>
      <c r="CF21" s="5">
        <f t="shared" si="66"/>
        <v>89.853669464448885</v>
      </c>
      <c r="CG21">
        <f t="shared" si="67"/>
        <v>16</v>
      </c>
      <c r="CI21" s="59">
        <f t="shared" si="48"/>
        <v>-50</v>
      </c>
      <c r="CJ21">
        <f t="shared" si="49"/>
        <v>-50</v>
      </c>
    </row>
    <row r="22" spans="5:88" x14ac:dyDescent="0.25">
      <c r="E22" s="150">
        <v>17</v>
      </c>
      <c r="F22" s="191">
        <f t="shared" si="68"/>
        <v>1.7000000000000001E-2</v>
      </c>
      <c r="G22" s="191">
        <f t="shared" si="50"/>
        <v>1.7000000000000001E-2</v>
      </c>
      <c r="H22" s="191">
        <f t="shared" si="0"/>
        <v>0.34</v>
      </c>
      <c r="I22" s="191">
        <f t="shared" si="69"/>
        <v>0.27200000000000002</v>
      </c>
      <c r="J22" s="472">
        <f t="shared" si="1"/>
        <v>20</v>
      </c>
      <c r="K22" s="386">
        <f t="shared" si="2"/>
        <v>20.32</v>
      </c>
      <c r="L22" s="386">
        <f t="shared" si="3"/>
        <v>40.32</v>
      </c>
      <c r="M22" s="386"/>
      <c r="N22" s="191">
        <f t="shared" si="4"/>
        <v>0.50396825396825395</v>
      </c>
      <c r="O22" s="152">
        <f t="shared" si="51"/>
        <v>1.8898809523809523</v>
      </c>
      <c r="P22" s="152">
        <f t="shared" si="5"/>
        <v>2.7214285714285715</v>
      </c>
      <c r="Q22" s="191">
        <f t="shared" si="6"/>
        <v>9.4494047619047616E-2</v>
      </c>
      <c r="R22" s="191">
        <f t="shared" si="7"/>
        <v>0.11811755952380952</v>
      </c>
      <c r="S22" s="386">
        <f t="shared" si="8"/>
        <v>20</v>
      </c>
      <c r="T22" s="191">
        <f t="shared" si="9"/>
        <v>0.13492913385826774</v>
      </c>
      <c r="U22" s="191">
        <f t="shared" si="10"/>
        <v>1.0119685039370079</v>
      </c>
      <c r="V22" s="191">
        <f t="shared" si="11"/>
        <v>0.99603199206398407</v>
      </c>
      <c r="W22" s="175">
        <f t="shared" si="12"/>
        <v>350</v>
      </c>
      <c r="X22" s="386">
        <f t="shared" si="52"/>
        <v>350</v>
      </c>
      <c r="Z22" s="191">
        <f t="shared" si="13"/>
        <v>0.19198790627362058</v>
      </c>
      <c r="AA22" s="153">
        <f t="shared" si="14"/>
        <v>1.4172335600907029</v>
      </c>
      <c r="AB22" s="153">
        <f t="shared" si="15"/>
        <v>4.7616048182941621E-2</v>
      </c>
      <c r="AC22" s="153"/>
      <c r="AD22" s="153">
        <f t="shared" si="16"/>
        <v>1.1072834645669289</v>
      </c>
      <c r="AE22" s="317">
        <f t="shared" si="17"/>
        <v>204.70518518518523</v>
      </c>
      <c r="AF22" s="463">
        <f t="shared" si="18"/>
        <v>2.9066190944881887E-2</v>
      </c>
      <c r="AH22" s="153">
        <f t="shared" si="19"/>
        <v>0.15269016246728445</v>
      </c>
      <c r="AI22" s="153">
        <f t="shared" si="20"/>
        <v>0.15269016246728445</v>
      </c>
      <c r="AJ22" s="153">
        <f t="shared" si="21"/>
        <v>1.1169743915343915</v>
      </c>
      <c r="AL22" s="317">
        <f t="shared" si="22"/>
        <v>17</v>
      </c>
      <c r="AM22" s="147">
        <f t="shared" si="23"/>
        <v>204.70518518518523</v>
      </c>
      <c r="AO22">
        <f t="shared" si="53"/>
        <v>17</v>
      </c>
      <c r="AP22" s="147">
        <f t="shared" si="24"/>
        <v>204.70518518518523</v>
      </c>
      <c r="AQ22" s="147"/>
      <c r="AR22" s="5">
        <f t="shared" si="54"/>
        <v>4.8850741083835105</v>
      </c>
      <c r="AS22" s="5">
        <f t="shared" si="25"/>
        <v>1.1451762185046335</v>
      </c>
      <c r="AT22" s="5">
        <f t="shared" si="55"/>
        <v>3.7398978898788773</v>
      </c>
      <c r="AU22" s="153">
        <f t="shared" si="56"/>
        <v>0.23442350987866112</v>
      </c>
      <c r="AW22" s="5">
        <f t="shared" si="26"/>
        <v>1.7236920000000002</v>
      </c>
      <c r="AX22" s="5">
        <f t="shared" si="27"/>
        <v>0.54914698799999995</v>
      </c>
      <c r="AY22" s="5">
        <f t="shared" si="28"/>
        <v>1.7372910952321905</v>
      </c>
      <c r="AZ22" s="5">
        <f t="shared" si="29"/>
        <v>0.39914700110698409</v>
      </c>
      <c r="BA22" s="5">
        <f t="shared" si="30"/>
        <v>0.12715652825588183</v>
      </c>
      <c r="BB22" s="147">
        <f t="shared" si="31"/>
        <v>12.817652825588183</v>
      </c>
      <c r="BC22" s="5"/>
      <c r="BD22" s="153">
        <f t="shared" si="57"/>
        <v>4.2682614288321138E-2</v>
      </c>
      <c r="BE22" s="153">
        <f t="shared" si="32"/>
        <v>7.7133799393929628E-2</v>
      </c>
      <c r="BF22" s="153">
        <f t="shared" si="33"/>
        <v>7.6831313906110296E-2</v>
      </c>
      <c r="BG22" s="153"/>
      <c r="BH22" s="463">
        <f t="shared" si="34"/>
        <v>6.3763194686995847E-4</v>
      </c>
      <c r="BI22" s="463">
        <f t="shared" si="35"/>
        <v>6.3013039455384109E-3</v>
      </c>
      <c r="BJ22" s="463">
        <f t="shared" si="36"/>
        <v>2.5588148148148154E-3</v>
      </c>
      <c r="BK22" s="463">
        <f t="shared" si="37"/>
        <v>1.6639485542400006E-2</v>
      </c>
      <c r="BL22">
        <f t="shared" si="38"/>
        <v>5.7999999999999996E-3</v>
      </c>
      <c r="BM22">
        <f t="shared" si="39"/>
        <v>7.6764444444444456E-6</v>
      </c>
      <c r="BN22">
        <f t="shared" si="40"/>
        <v>3.2034761675380455E-2</v>
      </c>
      <c r="BO22" s="147">
        <f t="shared" si="58"/>
        <v>32.034761675380452</v>
      </c>
      <c r="BP22" s="153">
        <f t="shared" si="41"/>
        <v>1.1039511978832435E-2</v>
      </c>
      <c r="BQ22" s="153">
        <f t="shared" si="42"/>
        <v>1.1003930808555995E-2</v>
      </c>
      <c r="BR22" s="463"/>
      <c r="BT22" s="147">
        <f t="shared" si="59"/>
        <v>22.043442787388429</v>
      </c>
      <c r="BU22" s="463">
        <f t="shared" si="43"/>
        <v>1.4574444499884766E-3</v>
      </c>
      <c r="BV22" s="463">
        <f t="shared" si="60"/>
        <v>4.7358999151186111E-3</v>
      </c>
      <c r="BW22" s="463">
        <f t="shared" si="44"/>
        <v>2.9515253982696288E-4</v>
      </c>
      <c r="BX22" s="463">
        <f t="shared" si="45"/>
        <v>0</v>
      </c>
      <c r="BY22" s="463">
        <f t="shared" si="46"/>
        <v>7.2708907056733274E-3</v>
      </c>
      <c r="BZ22" s="463">
        <f t="shared" si="61"/>
        <v>6.4884969049340503E-3</v>
      </c>
      <c r="CA22" s="549">
        <f t="shared" si="47"/>
        <v>7.1588327619047654E-3</v>
      </c>
      <c r="CB22" s="147">
        <f t="shared" si="62"/>
        <v>14.429723467578093</v>
      </c>
      <c r="CC22" s="153">
        <f t="shared" si="63"/>
        <v>6.8507927930346976E-2</v>
      </c>
      <c r="CD22" s="5">
        <f t="shared" si="64"/>
        <v>0.6120000000000001</v>
      </c>
      <c r="CE22" s="153">
        <f t="shared" si="65"/>
        <v>0.89932824421501956</v>
      </c>
      <c r="CF22" s="5">
        <f t="shared" si="66"/>
        <v>89.932824421501962</v>
      </c>
      <c r="CG22">
        <f t="shared" si="67"/>
        <v>17</v>
      </c>
      <c r="CI22" s="59">
        <f t="shared" si="48"/>
        <v>-50</v>
      </c>
      <c r="CJ22">
        <f t="shared" si="49"/>
        <v>-50</v>
      </c>
    </row>
    <row r="23" spans="5:88" x14ac:dyDescent="0.25">
      <c r="E23" s="150">
        <v>18</v>
      </c>
      <c r="F23" s="191">
        <f t="shared" si="68"/>
        <v>1.7999999999999999E-2</v>
      </c>
      <c r="G23" s="191">
        <f t="shared" si="50"/>
        <v>1.7999999999999999E-2</v>
      </c>
      <c r="H23" s="191">
        <f t="shared" si="0"/>
        <v>0.36</v>
      </c>
      <c r="I23" s="191">
        <f t="shared" si="69"/>
        <v>0.28799999999999998</v>
      </c>
      <c r="J23" s="472">
        <f t="shared" si="1"/>
        <v>20</v>
      </c>
      <c r="K23" s="386">
        <f t="shared" si="2"/>
        <v>20.32</v>
      </c>
      <c r="L23" s="386">
        <f t="shared" si="3"/>
        <v>40.32</v>
      </c>
      <c r="M23" s="386"/>
      <c r="N23" s="191">
        <f t="shared" si="4"/>
        <v>0.50396825396825395</v>
      </c>
      <c r="O23" s="152">
        <f t="shared" si="51"/>
        <v>1.8898809523809523</v>
      </c>
      <c r="P23" s="152">
        <f t="shared" si="5"/>
        <v>2.7214285714285715</v>
      </c>
      <c r="Q23" s="191">
        <f t="shared" si="6"/>
        <v>9.4494047619047616E-2</v>
      </c>
      <c r="R23" s="191">
        <f t="shared" si="7"/>
        <v>0.11811755952380952</v>
      </c>
      <c r="S23" s="386">
        <f t="shared" si="8"/>
        <v>20</v>
      </c>
      <c r="T23" s="191">
        <f t="shared" si="9"/>
        <v>0.14286614173228346</v>
      </c>
      <c r="U23" s="191">
        <f t="shared" si="10"/>
        <v>1.0714960629921257</v>
      </c>
      <c r="V23" s="191">
        <f t="shared" si="11"/>
        <v>1.0546221092442183</v>
      </c>
      <c r="W23" s="175">
        <f t="shared" si="12"/>
        <v>350</v>
      </c>
      <c r="X23" s="386">
        <f t="shared" si="52"/>
        <v>350</v>
      </c>
      <c r="Z23" s="191">
        <f t="shared" si="13"/>
        <v>0.19198790627362058</v>
      </c>
      <c r="AA23" s="153">
        <f t="shared" si="14"/>
        <v>1.4172335600907029</v>
      </c>
      <c r="AB23" s="153">
        <f t="shared" si="15"/>
        <v>4.7616048182941621E-2</v>
      </c>
      <c r="AC23" s="153"/>
      <c r="AD23" s="153">
        <f t="shared" si="16"/>
        <v>1.1072834645669289</v>
      </c>
      <c r="AE23" s="317">
        <f t="shared" si="17"/>
        <v>216.74666666666667</v>
      </c>
      <c r="AF23" s="463">
        <f t="shared" si="18"/>
        <v>2.9066190944881887E-2</v>
      </c>
      <c r="AH23" s="153">
        <f t="shared" si="19"/>
        <v>0.15711688096991452</v>
      </c>
      <c r="AI23" s="153">
        <f t="shared" si="20"/>
        <v>0.15711688096991452</v>
      </c>
      <c r="AJ23" s="153">
        <f t="shared" si="21"/>
        <v>1.123855238095238</v>
      </c>
      <c r="AL23" s="317">
        <f t="shared" si="22"/>
        <v>18</v>
      </c>
      <c r="AM23" s="147">
        <f t="shared" si="23"/>
        <v>216.74666666666667</v>
      </c>
      <c r="AO23">
        <f t="shared" si="53"/>
        <v>18</v>
      </c>
      <c r="AP23" s="147">
        <f t="shared" si="24"/>
        <v>216.74666666666667</v>
      </c>
      <c r="AQ23" s="147"/>
      <c r="AR23" s="5">
        <f t="shared" si="54"/>
        <v>4.6136811023622046</v>
      </c>
      <c r="AS23" s="5">
        <f t="shared" si="25"/>
        <v>1.1783766072743589</v>
      </c>
      <c r="AT23" s="5">
        <f t="shared" si="55"/>
        <v>3.4353044950878457</v>
      </c>
      <c r="AU23" s="153">
        <f t="shared" si="56"/>
        <v>0.25540920170469306</v>
      </c>
      <c r="AW23" s="5">
        <f t="shared" si="26"/>
        <v>1.7236920000000002</v>
      </c>
      <c r="AX23" s="5">
        <f t="shared" si="27"/>
        <v>0.61247620799999991</v>
      </c>
      <c r="AY23" s="5">
        <f t="shared" si="28"/>
        <v>1.7372910952321905</v>
      </c>
      <c r="AZ23" s="5">
        <f t="shared" si="29"/>
        <v>0.44536895625834877</v>
      </c>
      <c r="BA23" s="5">
        <f t="shared" si="30"/>
        <v>0.12367096182316241</v>
      </c>
      <c r="BB23" s="147">
        <f t="shared" si="31"/>
        <v>12.475096182316243</v>
      </c>
      <c r="BC23" s="5"/>
      <c r="BD23" s="153">
        <f t="shared" si="57"/>
        <v>4.5843787580668711E-2</v>
      </c>
      <c r="BE23" s="153">
        <f t="shared" si="32"/>
        <v>7.8274635539425902E-2</v>
      </c>
      <c r="BF23" s="153">
        <f t="shared" si="33"/>
        <v>7.7967676184369325E-2</v>
      </c>
      <c r="BG23" s="153"/>
      <c r="BH23" s="463">
        <f t="shared" si="34"/>
        <v>7.355785009095162E-4</v>
      </c>
      <c r="BI23" s="463">
        <f t="shared" si="35"/>
        <v>6.865399341822149E-3</v>
      </c>
      <c r="BJ23" s="463">
        <f t="shared" si="36"/>
        <v>2.7093333333333336E-3</v>
      </c>
      <c r="BK23" s="463">
        <f t="shared" si="37"/>
        <v>1.7618278809600003E-2</v>
      </c>
      <c r="BL23">
        <f t="shared" si="38"/>
        <v>5.7999999999999996E-3</v>
      </c>
      <c r="BM23">
        <f t="shared" si="39"/>
        <v>8.1279999999999991E-6</v>
      </c>
      <c r="BN23">
        <f t="shared" si="40"/>
        <v>3.3840613736239394E-2</v>
      </c>
      <c r="BO23" s="147">
        <f t="shared" si="58"/>
        <v>33.840613736239398</v>
      </c>
      <c r="BP23" s="153">
        <f t="shared" si="41"/>
        <v>1.1556965786586085E-2</v>
      </c>
      <c r="BQ23" s="153">
        <f t="shared" si="42"/>
        <v>1.1520324316607272E-2</v>
      </c>
      <c r="BR23" s="463"/>
      <c r="BT23" s="147">
        <f t="shared" si="59"/>
        <v>23.077290103193356</v>
      </c>
      <c r="BU23" s="463">
        <f t="shared" si="43"/>
        <v>1.68132228779318E-3</v>
      </c>
      <c r="BV23" s="463">
        <f t="shared" si="60"/>
        <v>4.8770271807886453E-3</v>
      </c>
      <c r="BW23" s="463">
        <f t="shared" si="44"/>
        <v>3.039479264795336E-4</v>
      </c>
      <c r="BX23" s="463">
        <f t="shared" si="45"/>
        <v>0</v>
      </c>
      <c r="BY23" s="463">
        <f t="shared" si="46"/>
        <v>7.6899947649522078E-3</v>
      </c>
      <c r="BZ23" s="463">
        <f t="shared" si="61"/>
        <v>6.8622973950613585E-3</v>
      </c>
      <c r="CA23" s="549">
        <f t="shared" si="47"/>
        <v>8.0258194285714301E-3</v>
      </c>
      <c r="CB23" s="147">
        <f t="shared" si="62"/>
        <v>15.715814193523636</v>
      </c>
      <c r="CC23" s="153">
        <f t="shared" si="63"/>
        <v>7.2633718032956388E-2</v>
      </c>
      <c r="CD23" s="5">
        <f t="shared" si="64"/>
        <v>0.64799999999999991</v>
      </c>
      <c r="CE23" s="153">
        <f t="shared" si="65"/>
        <v>0.89920854906537329</v>
      </c>
      <c r="CF23" s="5">
        <f t="shared" si="66"/>
        <v>89.920854906537329</v>
      </c>
      <c r="CG23">
        <f t="shared" si="67"/>
        <v>17.999999999999996</v>
      </c>
      <c r="CI23" s="59">
        <f t="shared" si="48"/>
        <v>-50</v>
      </c>
      <c r="CJ23">
        <f t="shared" si="49"/>
        <v>-50</v>
      </c>
    </row>
    <row r="24" spans="5:88" x14ac:dyDescent="0.25">
      <c r="E24" s="150">
        <v>19</v>
      </c>
      <c r="F24" s="191">
        <f t="shared" si="68"/>
        <v>1.9000000000000003E-2</v>
      </c>
      <c r="G24" s="191">
        <f t="shared" si="50"/>
        <v>1.9000000000000003E-2</v>
      </c>
      <c r="H24" s="191">
        <f t="shared" si="0"/>
        <v>0.38000000000000006</v>
      </c>
      <c r="I24" s="191">
        <f t="shared" si="69"/>
        <v>0.30400000000000005</v>
      </c>
      <c r="J24" s="472">
        <f t="shared" si="1"/>
        <v>20</v>
      </c>
      <c r="K24" s="386">
        <f t="shared" si="2"/>
        <v>20.32</v>
      </c>
      <c r="L24" s="386">
        <f t="shared" si="3"/>
        <v>40.32</v>
      </c>
      <c r="M24" s="386"/>
      <c r="N24" s="191">
        <f t="shared" si="4"/>
        <v>0.50396825396825395</v>
      </c>
      <c r="O24" s="152">
        <f t="shared" si="51"/>
        <v>1.8898809523809523</v>
      </c>
      <c r="P24" s="152">
        <f t="shared" si="5"/>
        <v>2.7214285714285715</v>
      </c>
      <c r="Q24" s="191">
        <f t="shared" si="6"/>
        <v>9.4494047619047616E-2</v>
      </c>
      <c r="R24" s="191">
        <f t="shared" si="7"/>
        <v>0.11811755952380952</v>
      </c>
      <c r="S24" s="386">
        <f t="shared" si="8"/>
        <v>20</v>
      </c>
      <c r="T24" s="191">
        <f t="shared" si="9"/>
        <v>0.15080314960629926</v>
      </c>
      <c r="U24" s="191">
        <f t="shared" si="10"/>
        <v>1.1310236220472443</v>
      </c>
      <c r="V24" s="191">
        <f t="shared" si="11"/>
        <v>1.1132122264244531</v>
      </c>
      <c r="W24" s="175">
        <f t="shared" si="12"/>
        <v>350</v>
      </c>
      <c r="X24" s="386">
        <f t="shared" si="52"/>
        <v>350</v>
      </c>
      <c r="Z24" s="191">
        <f t="shared" si="13"/>
        <v>0.19198790627362058</v>
      </c>
      <c r="AA24" s="153">
        <f t="shared" si="14"/>
        <v>1.4172335600907029</v>
      </c>
      <c r="AB24" s="153">
        <f t="shared" si="15"/>
        <v>4.7616048182941621E-2</v>
      </c>
      <c r="AC24" s="153"/>
      <c r="AD24" s="153">
        <f t="shared" si="16"/>
        <v>1.1072834645669289</v>
      </c>
      <c r="AE24" s="317">
        <f t="shared" si="17"/>
        <v>228.7881481481482</v>
      </c>
      <c r="AF24" s="463">
        <f t="shared" si="18"/>
        <v>2.9066190944881887E-2</v>
      </c>
      <c r="AH24" s="153">
        <f t="shared" si="19"/>
        <v>0.16142225019229184</v>
      </c>
      <c r="AI24" s="153">
        <f t="shared" si="20"/>
        <v>0.16142225019229184</v>
      </c>
      <c r="AJ24" s="153">
        <f t="shared" si="21"/>
        <v>1.1307360846560848</v>
      </c>
      <c r="AL24" s="317">
        <f t="shared" si="22"/>
        <v>19.000000000000004</v>
      </c>
      <c r="AM24" s="147">
        <f t="shared" si="23"/>
        <v>228.7881481481482</v>
      </c>
      <c r="AO24">
        <f t="shared" si="53"/>
        <v>19.000000000000004</v>
      </c>
      <c r="AP24" s="147">
        <f t="shared" si="24"/>
        <v>228.7881481481482</v>
      </c>
      <c r="AQ24" s="147"/>
      <c r="AR24" s="5">
        <f t="shared" si="54"/>
        <v>4.370855781185246</v>
      </c>
      <c r="AS24" s="5">
        <f t="shared" si="25"/>
        <v>1.2106668764421886</v>
      </c>
      <c r="AT24" s="5">
        <f t="shared" si="55"/>
        <v>3.1601889047430571</v>
      </c>
      <c r="AU24" s="153">
        <f t="shared" si="56"/>
        <v>0.27698623268551126</v>
      </c>
      <c r="AW24" s="5">
        <f t="shared" si="26"/>
        <v>1.7236920000000002</v>
      </c>
      <c r="AX24" s="5">
        <f t="shared" si="27"/>
        <v>0.67925281200000009</v>
      </c>
      <c r="AY24" s="5">
        <f t="shared" si="28"/>
        <v>1.7372910952321905</v>
      </c>
      <c r="AZ24" s="5">
        <f t="shared" si="29"/>
        <v>0.49411788027550607</v>
      </c>
      <c r="BA24" s="5">
        <f t="shared" si="30"/>
        <v>0.12008717838023619</v>
      </c>
      <c r="BB24" s="147">
        <f t="shared" si="31"/>
        <v>12.122717838023618</v>
      </c>
      <c r="BC24" s="5"/>
      <c r="BD24" s="153">
        <f t="shared" si="57"/>
        <v>4.9049192431504178E-2</v>
      </c>
      <c r="BE24" s="153">
        <f t="shared" si="32"/>
        <v>7.9245763341213138E-2</v>
      </c>
      <c r="BF24" s="153">
        <f t="shared" si="33"/>
        <v>7.8934995641835842E-2</v>
      </c>
      <c r="BG24" s="153"/>
      <c r="BH24" s="463">
        <f t="shared" si="34"/>
        <v>8.420381473639544E-4</v>
      </c>
      <c r="BI24" s="463">
        <f t="shared" si="35"/>
        <v>7.4453899345865437E-3</v>
      </c>
      <c r="BJ24" s="463">
        <f t="shared" si="36"/>
        <v>2.8598518518518526E-3</v>
      </c>
      <c r="BK24" s="463">
        <f t="shared" si="37"/>
        <v>1.859707207680001E-2</v>
      </c>
      <c r="BL24">
        <f t="shared" si="38"/>
        <v>5.7999999999999996E-3</v>
      </c>
      <c r="BM24">
        <f t="shared" si="39"/>
        <v>8.5795555555555577E-6</v>
      </c>
      <c r="BN24">
        <f t="shared" si="40"/>
        <v>3.5672148599732181E-2</v>
      </c>
      <c r="BO24" s="147">
        <f t="shared" si="58"/>
        <v>35.672148599732182</v>
      </c>
      <c r="BP24" s="153">
        <f t="shared" si="41"/>
        <v>1.2055836729754113E-2</v>
      </c>
      <c r="BQ24" s="153">
        <f t="shared" si="42"/>
        <v>1.2018280422250159E-2</v>
      </c>
      <c r="BR24" s="463"/>
      <c r="BT24" s="147">
        <f t="shared" si="59"/>
        <v>24.074117152004273</v>
      </c>
      <c r="BU24" s="463">
        <f t="shared" si="43"/>
        <v>1.9246586225461816E-3</v>
      </c>
      <c r="BV24" s="463">
        <f t="shared" si="60"/>
        <v>4.9987932419951215E-3</v>
      </c>
      <c r="BW24" s="463">
        <f t="shared" si="44"/>
        <v>3.115366768488322E-4</v>
      </c>
      <c r="BX24" s="463">
        <f t="shared" si="45"/>
        <v>0</v>
      </c>
      <c r="BY24" s="463">
        <f t="shared" si="46"/>
        <v>8.1078799998684729E-3</v>
      </c>
      <c r="BZ24" s="463">
        <f t="shared" si="61"/>
        <v>7.2349885413901353E-3</v>
      </c>
      <c r="CA24" s="549">
        <f t="shared" si="47"/>
        <v>8.9423481904761948E-3</v>
      </c>
      <c r="CB24" s="147">
        <f t="shared" si="62"/>
        <v>17.050228190344669</v>
      </c>
      <c r="CC24" s="153">
        <f t="shared" si="63"/>
        <v>7.6796493942081115E-2</v>
      </c>
      <c r="CD24" s="5">
        <f t="shared" si="64"/>
        <v>0.68400000000000016</v>
      </c>
      <c r="CE24" s="153">
        <f t="shared" si="65"/>
        <v>0.89905777096295669</v>
      </c>
      <c r="CF24" s="5">
        <f t="shared" si="66"/>
        <v>89.905777096295665</v>
      </c>
      <c r="CG24">
        <f t="shared" si="67"/>
        <v>19.000000000000004</v>
      </c>
      <c r="CI24" s="59">
        <f t="shared" si="48"/>
        <v>-50</v>
      </c>
      <c r="CJ24">
        <f t="shared" si="49"/>
        <v>-50</v>
      </c>
    </row>
    <row r="25" spans="5:88" x14ac:dyDescent="0.25">
      <c r="E25" s="150">
        <v>20</v>
      </c>
      <c r="F25" s="191">
        <f t="shared" si="68"/>
        <v>2.0000000000000004E-2</v>
      </c>
      <c r="G25" s="191">
        <f t="shared" si="50"/>
        <v>2.0000000000000004E-2</v>
      </c>
      <c r="H25" s="191">
        <f t="shared" si="0"/>
        <v>0.40000000000000008</v>
      </c>
      <c r="I25" s="191">
        <f t="shared" si="69"/>
        <v>0.32000000000000006</v>
      </c>
      <c r="J25" s="472">
        <f t="shared" si="1"/>
        <v>20</v>
      </c>
      <c r="K25" s="386">
        <f t="shared" si="2"/>
        <v>20.32</v>
      </c>
      <c r="L25" s="386">
        <f t="shared" si="3"/>
        <v>40.32</v>
      </c>
      <c r="M25" s="386"/>
      <c r="N25" s="191">
        <f t="shared" si="4"/>
        <v>0.50396825396825395</v>
      </c>
      <c r="O25" s="152">
        <f t="shared" si="51"/>
        <v>1.8898809523809523</v>
      </c>
      <c r="P25" s="152">
        <f t="shared" si="5"/>
        <v>2.7214285714285715</v>
      </c>
      <c r="Q25" s="191">
        <f t="shared" si="6"/>
        <v>9.4494047619047616E-2</v>
      </c>
      <c r="R25" s="191">
        <f t="shared" si="7"/>
        <v>0.11811755952380952</v>
      </c>
      <c r="S25" s="386">
        <f t="shared" si="8"/>
        <v>20</v>
      </c>
      <c r="T25" s="191">
        <f t="shared" si="9"/>
        <v>0.158740157480315</v>
      </c>
      <c r="U25" s="191">
        <f t="shared" si="10"/>
        <v>1.1905511811023626</v>
      </c>
      <c r="V25" s="191">
        <f t="shared" si="11"/>
        <v>1.1718023436046876</v>
      </c>
      <c r="W25" s="175">
        <f t="shared" si="12"/>
        <v>350</v>
      </c>
      <c r="X25" s="386">
        <f t="shared" si="52"/>
        <v>350</v>
      </c>
      <c r="Z25" s="191">
        <f t="shared" si="13"/>
        <v>0.19198790627362058</v>
      </c>
      <c r="AA25" s="153">
        <f t="shared" si="14"/>
        <v>1.4172335600907029</v>
      </c>
      <c r="AB25" s="153">
        <f t="shared" si="15"/>
        <v>4.7616048182941621E-2</v>
      </c>
      <c r="AC25" s="153"/>
      <c r="AD25" s="153">
        <f t="shared" si="16"/>
        <v>1.1072834645669289</v>
      </c>
      <c r="AE25" s="317">
        <f t="shared" si="17"/>
        <v>240.82962962962969</v>
      </c>
      <c r="AF25" s="463">
        <f t="shared" si="18"/>
        <v>2.9066190944881887E-2</v>
      </c>
      <c r="AH25" s="153">
        <f t="shared" si="19"/>
        <v>0.16561573424216505</v>
      </c>
      <c r="AI25" s="153">
        <f t="shared" si="20"/>
        <v>0.16561573424216505</v>
      </c>
      <c r="AJ25" s="153">
        <f t="shared" si="21"/>
        <v>1.1376169312169313</v>
      </c>
      <c r="AL25" s="317">
        <f t="shared" si="22"/>
        <v>20.000000000000004</v>
      </c>
      <c r="AM25" s="147">
        <f t="shared" si="23"/>
        <v>240.82962962962969</v>
      </c>
      <c r="AO25">
        <f t="shared" si="53"/>
        <v>20.000000000000004</v>
      </c>
      <c r="AP25" s="147">
        <f t="shared" si="24"/>
        <v>240.82962962962969</v>
      </c>
      <c r="AQ25" s="147"/>
      <c r="AR25" s="5">
        <f t="shared" si="54"/>
        <v>4.1523129921259834</v>
      </c>
      <c r="AS25" s="5">
        <f t="shared" si="25"/>
        <v>1.2421180068162379</v>
      </c>
      <c r="AT25" s="5">
        <f t="shared" si="55"/>
        <v>2.9101949853097455</v>
      </c>
      <c r="AU25" s="153">
        <f t="shared" si="56"/>
        <v>0.29913881953784838</v>
      </c>
      <c r="AW25" s="5">
        <f t="shared" si="26"/>
        <v>1.7236920000000002</v>
      </c>
      <c r="AX25" s="5">
        <f t="shared" si="27"/>
        <v>0.74947680000000028</v>
      </c>
      <c r="AY25" s="5">
        <f t="shared" si="28"/>
        <v>1.7372910952321905</v>
      </c>
      <c r="AZ25" s="5">
        <f t="shared" si="29"/>
        <v>0.5453937731584555</v>
      </c>
      <c r="BA25" s="5">
        <f t="shared" si="30"/>
        <v>0.11640779941238984</v>
      </c>
      <c r="BB25" s="147">
        <f t="shared" si="31"/>
        <v>11.760779941238987</v>
      </c>
      <c r="BC25" s="5"/>
      <c r="BD25" s="153">
        <f t="shared" si="57"/>
        <v>5.2297069639870575E-2</v>
      </c>
      <c r="BE25" s="153">
        <f t="shared" si="32"/>
        <v>8.0049195186083374E-2</v>
      </c>
      <c r="BF25" s="153">
        <f t="shared" si="33"/>
        <v>7.9735276773588937E-2</v>
      </c>
      <c r="BG25" s="153"/>
      <c r="BH25" s="463">
        <f t="shared" si="34"/>
        <v>9.5724422252111536E-4</v>
      </c>
      <c r="BI25" s="463">
        <f t="shared" si="35"/>
        <v>8.0408514691773653E-3</v>
      </c>
      <c r="BJ25" s="463">
        <f t="shared" si="36"/>
        <v>3.0103703703703712E-3</v>
      </c>
      <c r="BK25" s="463">
        <f t="shared" si="37"/>
        <v>1.957586534400001E-2</v>
      </c>
      <c r="BL25">
        <f t="shared" si="38"/>
        <v>5.7999999999999996E-3</v>
      </c>
      <c r="BM25">
        <f t="shared" si="39"/>
        <v>9.0311111111111129E-6</v>
      </c>
      <c r="BN25">
        <f t="shared" si="40"/>
        <v>3.7529218581024038E-2</v>
      </c>
      <c r="BO25" s="147">
        <f t="shared" si="58"/>
        <v>37.52921858102404</v>
      </c>
      <c r="BP25" s="153">
        <f t="shared" si="41"/>
        <v>1.2535615468553913E-2</v>
      </c>
      <c r="BQ25" s="153">
        <f t="shared" si="42"/>
        <v>1.2497293772690878E-2</v>
      </c>
      <c r="BR25" s="463"/>
      <c r="BT25" s="147">
        <f t="shared" si="59"/>
        <v>25.032909241244791</v>
      </c>
      <c r="BU25" s="463">
        <f t="shared" si="43"/>
        <v>2.1879867943339782E-3</v>
      </c>
      <c r="BV25" s="463">
        <f t="shared" si="60"/>
        <v>5.1006674253519808E-3</v>
      </c>
      <c r="BW25" s="463">
        <f t="shared" si="44"/>
        <v>3.1788571810804157E-4</v>
      </c>
      <c r="BX25" s="463">
        <f t="shared" si="45"/>
        <v>0</v>
      </c>
      <c r="BY25" s="463">
        <f t="shared" si="46"/>
        <v>8.5245120936645342E-3</v>
      </c>
      <c r="BZ25" s="463">
        <f t="shared" si="61"/>
        <v>7.6065399377940003E-3</v>
      </c>
      <c r="CA25" s="549">
        <f t="shared" si="47"/>
        <v>9.9084190476190544E-3</v>
      </c>
      <c r="CB25" s="147">
        <f t="shared" si="62"/>
        <v>18.432931141283589</v>
      </c>
      <c r="CC25" s="153">
        <f t="shared" si="63"/>
        <v>8.0995058963552413E-2</v>
      </c>
      <c r="CD25" s="5">
        <f t="shared" si="64"/>
        <v>0.7200000000000002</v>
      </c>
      <c r="CE25" s="153">
        <f t="shared" si="65"/>
        <v>0.89888194932393717</v>
      </c>
      <c r="CF25" s="5">
        <f t="shared" si="66"/>
        <v>89.888194932393716</v>
      </c>
      <c r="CG25">
        <f t="shared" si="67"/>
        <v>20.000000000000004</v>
      </c>
      <c r="CI25" s="59">
        <f t="shared" si="48"/>
        <v>-50</v>
      </c>
      <c r="CJ25">
        <f t="shared" si="49"/>
        <v>-50</v>
      </c>
    </row>
    <row r="26" spans="5:88" x14ac:dyDescent="0.25">
      <c r="E26" s="150">
        <v>21</v>
      </c>
      <c r="F26" s="191">
        <f t="shared" si="68"/>
        <v>2.1000000000000001E-2</v>
      </c>
      <c r="G26" s="191">
        <f t="shared" si="50"/>
        <v>2.1000000000000001E-2</v>
      </c>
      <c r="H26" s="191">
        <f t="shared" si="0"/>
        <v>0.42000000000000004</v>
      </c>
      <c r="I26" s="191">
        <f t="shared" si="69"/>
        <v>0.33600000000000002</v>
      </c>
      <c r="J26" s="472">
        <f t="shared" si="1"/>
        <v>20</v>
      </c>
      <c r="K26" s="386">
        <f t="shared" si="2"/>
        <v>20.32</v>
      </c>
      <c r="L26" s="386">
        <f t="shared" si="3"/>
        <v>40.32</v>
      </c>
      <c r="M26" s="386"/>
      <c r="N26" s="191">
        <f t="shared" si="4"/>
        <v>0.50396825396825395</v>
      </c>
      <c r="O26" s="152">
        <f t="shared" si="51"/>
        <v>1.8898809523809523</v>
      </c>
      <c r="P26" s="152">
        <f t="shared" si="5"/>
        <v>2.7214285714285715</v>
      </c>
      <c r="Q26" s="191">
        <f t="shared" si="6"/>
        <v>9.4494047619047616E-2</v>
      </c>
      <c r="R26" s="191">
        <f t="shared" si="7"/>
        <v>0.11811755952380952</v>
      </c>
      <c r="S26" s="386">
        <f t="shared" si="8"/>
        <v>20</v>
      </c>
      <c r="T26" s="191">
        <f t="shared" si="9"/>
        <v>0.16667716535433072</v>
      </c>
      <c r="U26" s="191">
        <f t="shared" si="10"/>
        <v>1.2500787401574804</v>
      </c>
      <c r="V26" s="191">
        <f t="shared" si="11"/>
        <v>1.2303924607849215</v>
      </c>
      <c r="W26" s="175">
        <f t="shared" si="12"/>
        <v>350</v>
      </c>
      <c r="X26" s="386">
        <f t="shared" si="52"/>
        <v>350</v>
      </c>
      <c r="Z26" s="191">
        <f t="shared" si="13"/>
        <v>0.19198790627362058</v>
      </c>
      <c r="AA26" s="153">
        <f t="shared" si="14"/>
        <v>1.4172335600907029</v>
      </c>
      <c r="AB26" s="153">
        <f t="shared" si="15"/>
        <v>4.7616048182941621E-2</v>
      </c>
      <c r="AC26" s="153"/>
      <c r="AD26" s="153">
        <f t="shared" si="16"/>
        <v>1.1072834645669289</v>
      </c>
      <c r="AE26" s="317">
        <f t="shared" si="17"/>
        <v>252.87111111111116</v>
      </c>
      <c r="AF26" s="463">
        <f t="shared" si="18"/>
        <v>2.9066190944881887E-2</v>
      </c>
      <c r="AH26" s="153">
        <f t="shared" si="19"/>
        <v>0.16970562748477142</v>
      </c>
      <c r="AI26" s="153">
        <f t="shared" si="20"/>
        <v>0.16970562748477142</v>
      </c>
      <c r="AJ26" s="153">
        <f t="shared" si="21"/>
        <v>1.1444977777777778</v>
      </c>
      <c r="AL26" s="317">
        <f t="shared" si="22"/>
        <v>21</v>
      </c>
      <c r="AM26" s="147">
        <f t="shared" si="23"/>
        <v>252.87111111111116</v>
      </c>
      <c r="AO26">
        <f t="shared" si="53"/>
        <v>21</v>
      </c>
      <c r="AP26" s="147">
        <f t="shared" si="24"/>
        <v>252.87111111111116</v>
      </c>
      <c r="AQ26" s="147"/>
      <c r="AR26" s="5">
        <f t="shared" si="54"/>
        <v>3.9545838020247461</v>
      </c>
      <c r="AS26" s="5">
        <f t="shared" si="25"/>
        <v>1.2727922061357855</v>
      </c>
      <c r="AT26" s="5">
        <f t="shared" si="55"/>
        <v>2.6817915958889609</v>
      </c>
      <c r="AU26" s="153">
        <f t="shared" si="56"/>
        <v>0.32185237937911854</v>
      </c>
      <c r="AW26" s="5">
        <f t="shared" si="26"/>
        <v>1.7236920000000002</v>
      </c>
      <c r="AX26" s="5">
        <f t="shared" si="27"/>
        <v>0.82314817200000001</v>
      </c>
      <c r="AY26" s="5">
        <f t="shared" si="28"/>
        <v>1.7372910952321905</v>
      </c>
      <c r="AZ26" s="5">
        <f t="shared" si="29"/>
        <v>0.5991966349071971</v>
      </c>
      <c r="BA26" s="5">
        <f t="shared" si="30"/>
        <v>0.11263524702733635</v>
      </c>
      <c r="BB26" s="147">
        <f t="shared" si="31"/>
        <v>11.389524702733635</v>
      </c>
      <c r="BC26" s="5"/>
      <c r="BD26" s="153">
        <f t="shared" si="57"/>
        <v>5.5585815115364985E-2</v>
      </c>
      <c r="BE26" s="153">
        <f t="shared" si="32"/>
        <v>8.0685916726281684E-2</v>
      </c>
      <c r="BF26" s="153">
        <f t="shared" si="33"/>
        <v>8.0369501366570784E-2</v>
      </c>
      <c r="BG26" s="153"/>
      <c r="BH26" s="463">
        <f t="shared" si="34"/>
        <v>1.0814239947138384E-3</v>
      </c>
      <c r="BI26" s="463">
        <f t="shared" si="35"/>
        <v>8.6513919577107072E-3</v>
      </c>
      <c r="BJ26" s="463">
        <f t="shared" si="36"/>
        <v>3.1608888888888897E-3</v>
      </c>
      <c r="BK26" s="463">
        <f t="shared" si="37"/>
        <v>2.0554658611200007E-2</v>
      </c>
      <c r="BL26">
        <f t="shared" si="38"/>
        <v>5.7999999999999996E-3</v>
      </c>
      <c r="BM26">
        <f t="shared" si="39"/>
        <v>9.4826666666666681E-6</v>
      </c>
      <c r="BN26">
        <f t="shared" si="40"/>
        <v>3.9411701888703993E-2</v>
      </c>
      <c r="BO26" s="147">
        <f t="shared" si="58"/>
        <v>39.411701888703995</v>
      </c>
      <c r="BP26" s="153">
        <f t="shared" si="41"/>
        <v>1.2995805908681796E-2</v>
      </c>
      <c r="BQ26" s="153">
        <f t="shared" si="42"/>
        <v>1.2956872156932175E-2</v>
      </c>
      <c r="BR26" s="463"/>
      <c r="BT26" s="147">
        <f t="shared" si="59"/>
        <v>25.952678065613974</v>
      </c>
      <c r="BU26" s="463">
        <f t="shared" si="43"/>
        <v>2.4718262736316311E-3</v>
      </c>
      <c r="BV26" s="463">
        <f t="shared" si="60"/>
        <v>5.1821328577365284E-3</v>
      </c>
      <c r="BW26" s="463">
        <f t="shared" si="44"/>
        <v>3.2296283749556117E-4</v>
      </c>
      <c r="BX26" s="463">
        <f t="shared" si="45"/>
        <v>0</v>
      </c>
      <c r="BY26" s="463">
        <f t="shared" si="46"/>
        <v>8.9398576088520528E-3</v>
      </c>
      <c r="BZ26" s="463">
        <f t="shared" si="61"/>
        <v>7.9769219688637198E-3</v>
      </c>
      <c r="CA26" s="549">
        <f t="shared" si="47"/>
        <v>1.0924032000000004E-2</v>
      </c>
      <c r="CB26" s="147">
        <f t="shared" si="62"/>
        <v>19.863889608852055</v>
      </c>
      <c r="CC26" s="153">
        <f t="shared" si="63"/>
        <v>8.5228269563170006E-2</v>
      </c>
      <c r="CD26" s="5">
        <f t="shared" si="64"/>
        <v>0.75600000000000001</v>
      </c>
      <c r="CE26" s="153">
        <f t="shared" si="65"/>
        <v>0.89868591838048073</v>
      </c>
      <c r="CF26" s="5">
        <f t="shared" si="66"/>
        <v>89.868591838048076</v>
      </c>
      <c r="CG26">
        <f t="shared" si="67"/>
        <v>21</v>
      </c>
      <c r="CI26" s="59">
        <f t="shared" si="48"/>
        <v>-50</v>
      </c>
      <c r="CJ26">
        <f t="shared" si="49"/>
        <v>-50</v>
      </c>
    </row>
    <row r="27" spans="5:88" x14ac:dyDescent="0.25">
      <c r="E27" s="150">
        <v>22</v>
      </c>
      <c r="F27" s="191">
        <f t="shared" si="68"/>
        <v>2.2000000000000002E-2</v>
      </c>
      <c r="G27" s="191">
        <f t="shared" si="50"/>
        <v>2.2000000000000002E-2</v>
      </c>
      <c r="H27" s="191">
        <f t="shared" si="0"/>
        <v>0.44000000000000006</v>
      </c>
      <c r="I27" s="191">
        <f t="shared" si="69"/>
        <v>0.35200000000000004</v>
      </c>
      <c r="J27" s="472">
        <f t="shared" si="1"/>
        <v>20</v>
      </c>
      <c r="K27" s="386">
        <f t="shared" si="2"/>
        <v>20.32</v>
      </c>
      <c r="L27" s="386">
        <f t="shared" si="3"/>
        <v>40.32</v>
      </c>
      <c r="M27" s="386"/>
      <c r="N27" s="191">
        <f t="shared" si="4"/>
        <v>0.50396825396825395</v>
      </c>
      <c r="O27" s="152">
        <f t="shared" si="51"/>
        <v>1.8898809523809523</v>
      </c>
      <c r="P27" s="152">
        <f t="shared" si="5"/>
        <v>2.7214285714285715</v>
      </c>
      <c r="Q27" s="191">
        <f t="shared" si="6"/>
        <v>9.4494047619047616E-2</v>
      </c>
      <c r="R27" s="191">
        <f t="shared" si="7"/>
        <v>0.11811755952380952</v>
      </c>
      <c r="S27" s="386">
        <f t="shared" si="8"/>
        <v>20</v>
      </c>
      <c r="T27" s="191">
        <f t="shared" si="9"/>
        <v>0.17461417322834646</v>
      </c>
      <c r="U27" s="191">
        <f t="shared" si="10"/>
        <v>1.3096062992125983</v>
      </c>
      <c r="V27" s="191">
        <f t="shared" si="11"/>
        <v>1.2889825779651558</v>
      </c>
      <c r="W27" s="175">
        <f t="shared" si="12"/>
        <v>350</v>
      </c>
      <c r="X27" s="386">
        <f t="shared" si="52"/>
        <v>350</v>
      </c>
      <c r="Z27" s="191">
        <f t="shared" si="13"/>
        <v>0.19198790627362058</v>
      </c>
      <c r="AA27" s="153">
        <f t="shared" si="14"/>
        <v>1.4172335600907029</v>
      </c>
      <c r="AB27" s="153">
        <f t="shared" si="15"/>
        <v>4.7616048182941621E-2</v>
      </c>
      <c r="AC27" s="153"/>
      <c r="AD27" s="153">
        <f t="shared" si="16"/>
        <v>1.1072834645669289</v>
      </c>
      <c r="AE27" s="317">
        <f t="shared" si="17"/>
        <v>264.91259259259266</v>
      </c>
      <c r="AF27" s="463">
        <f t="shared" si="18"/>
        <v>2.9066190944881887E-2</v>
      </c>
      <c r="AH27" s="153">
        <f t="shared" si="19"/>
        <v>0.17369924746937904</v>
      </c>
      <c r="AI27" s="153">
        <f t="shared" si="20"/>
        <v>0.17369924746937904</v>
      </c>
      <c r="AJ27" s="153">
        <f t="shared" si="21"/>
        <v>1.1513786243386244</v>
      </c>
      <c r="AL27" s="317">
        <f t="shared" si="22"/>
        <v>22.000000000000004</v>
      </c>
      <c r="AM27" s="147">
        <f t="shared" si="23"/>
        <v>264.91259259259266</v>
      </c>
      <c r="AO27">
        <f t="shared" si="53"/>
        <v>22.000000000000004</v>
      </c>
      <c r="AP27" s="147">
        <f t="shared" si="24"/>
        <v>264.91259259259266</v>
      </c>
      <c r="AQ27" s="147"/>
      <c r="AR27" s="5">
        <f t="shared" si="54"/>
        <v>3.774829992841803</v>
      </c>
      <c r="AS27" s="5">
        <f t="shared" si="25"/>
        <v>1.3027443560203427</v>
      </c>
      <c r="AT27" s="5">
        <f t="shared" si="55"/>
        <v>2.4720856368214603</v>
      </c>
      <c r="AU27" s="153">
        <f t="shared" si="56"/>
        <v>0.34511338483871651</v>
      </c>
      <c r="AW27" s="5">
        <f t="shared" si="26"/>
        <v>1.7236920000000002</v>
      </c>
      <c r="AX27" s="5">
        <f t="shared" si="27"/>
        <v>0.90026692800000019</v>
      </c>
      <c r="AY27" s="5">
        <f t="shared" si="28"/>
        <v>1.7372910952321905</v>
      </c>
      <c r="AZ27" s="5">
        <f t="shared" si="29"/>
        <v>0.65552646552173111</v>
      </c>
      <c r="BA27" s="5">
        <f t="shared" si="30"/>
        <v>0.10877176802014425</v>
      </c>
      <c r="BB27" s="147">
        <f t="shared" si="31"/>
        <v>11.009176802014426</v>
      </c>
      <c r="BC27" s="5"/>
      <c r="BD27" s="153">
        <f t="shared" si="57"/>
        <v>5.8913959408913377E-2</v>
      </c>
      <c r="BE27" s="153">
        <f t="shared" si="32"/>
        <v>8.1155950144815428E-2</v>
      </c>
      <c r="BF27" s="153">
        <f t="shared" si="33"/>
        <v>8.0837691516796553E-2</v>
      </c>
      <c r="BG27" s="153"/>
      <c r="BH27" s="463">
        <f t="shared" si="34"/>
        <v>1.2147991146322825E-3</v>
      </c>
      <c r="BI27" s="463">
        <f t="shared" si="35"/>
        <v>9.2766477844647022E-3</v>
      </c>
      <c r="BJ27" s="463">
        <f t="shared" si="36"/>
        <v>3.3114074074074079E-3</v>
      </c>
      <c r="BK27" s="463">
        <f t="shared" si="37"/>
        <v>2.1533451878400011E-2</v>
      </c>
      <c r="BL27">
        <f t="shared" si="38"/>
        <v>5.7999999999999996E-3</v>
      </c>
      <c r="BM27">
        <f t="shared" si="39"/>
        <v>9.9342222222222251E-6</v>
      </c>
      <c r="BN27">
        <f t="shared" si="40"/>
        <v>4.1319499245009918E-2</v>
      </c>
      <c r="BO27" s="147">
        <f t="shared" si="58"/>
        <v>41.319499245009915</v>
      </c>
      <c r="BP27" s="153">
        <f t="shared" si="41"/>
        <v>1.3435924218345534E-2</v>
      </c>
      <c r="BQ27" s="153">
        <f t="shared" si="42"/>
        <v>1.3396535530500278E-2</v>
      </c>
      <c r="BR27" s="463"/>
      <c r="BT27" s="147">
        <f t="shared" si="59"/>
        <v>26.832459748845814</v>
      </c>
      <c r="BU27" s="463">
        <f t="shared" si="43"/>
        <v>2.7766836905880748E-3</v>
      </c>
      <c r="BV27" s="463">
        <f t="shared" si="60"/>
        <v>5.242685442150583E-3</v>
      </c>
      <c r="BW27" s="463">
        <f t="shared" si="44"/>
        <v>3.2673661848823805E-4</v>
      </c>
      <c r="BX27" s="463">
        <f t="shared" si="45"/>
        <v>0</v>
      </c>
      <c r="BY27" s="463">
        <f t="shared" si="46"/>
        <v>9.3538839217257586E-3</v>
      </c>
      <c r="BZ27" s="463">
        <f t="shared" si="61"/>
        <v>8.3461057512268962E-3</v>
      </c>
      <c r="CA27" s="549">
        <f t="shared" si="47"/>
        <v>1.1989187047619053E-2</v>
      </c>
      <c r="CB27" s="147">
        <f t="shared" si="62"/>
        <v>21.343070969344812</v>
      </c>
      <c r="CC27" s="153">
        <f t="shared" si="63"/>
        <v>8.9495029963200551E-2</v>
      </c>
      <c r="CD27" s="5">
        <f t="shared" si="64"/>
        <v>0.79200000000000004</v>
      </c>
      <c r="CE27" s="153">
        <f t="shared" si="65"/>
        <v>0.89847358530548194</v>
      </c>
      <c r="CF27" s="5">
        <f t="shared" si="66"/>
        <v>89.847358530548192</v>
      </c>
      <c r="CG27">
        <f t="shared" si="67"/>
        <v>22</v>
      </c>
      <c r="CI27" s="59">
        <f t="shared" si="48"/>
        <v>-50</v>
      </c>
      <c r="CJ27">
        <f t="shared" si="49"/>
        <v>-50</v>
      </c>
    </row>
    <row r="28" spans="5:88" x14ac:dyDescent="0.25">
      <c r="E28" s="150">
        <v>23</v>
      </c>
      <c r="F28" s="191">
        <f t="shared" si="68"/>
        <v>2.3000000000000003E-2</v>
      </c>
      <c r="G28" s="191">
        <f t="shared" si="50"/>
        <v>2.3000000000000003E-2</v>
      </c>
      <c r="H28" s="191">
        <f t="shared" si="0"/>
        <v>0.46000000000000008</v>
      </c>
      <c r="I28" s="191">
        <f t="shared" si="69"/>
        <v>0.36800000000000005</v>
      </c>
      <c r="J28" s="472">
        <f t="shared" si="1"/>
        <v>20</v>
      </c>
      <c r="K28" s="386">
        <f t="shared" si="2"/>
        <v>20.32</v>
      </c>
      <c r="L28" s="386">
        <f t="shared" si="3"/>
        <v>40.32</v>
      </c>
      <c r="M28" s="386"/>
      <c r="N28" s="191">
        <f t="shared" si="4"/>
        <v>0.50396825396825395</v>
      </c>
      <c r="O28" s="152">
        <f t="shared" si="51"/>
        <v>1.8898809523809523</v>
      </c>
      <c r="P28" s="152">
        <f t="shared" si="5"/>
        <v>2.7214285714285715</v>
      </c>
      <c r="Q28" s="191">
        <f t="shared" si="6"/>
        <v>9.4494047619047616E-2</v>
      </c>
      <c r="R28" s="191">
        <f t="shared" si="7"/>
        <v>0.11811755952380952</v>
      </c>
      <c r="S28" s="386">
        <f t="shared" si="8"/>
        <v>20</v>
      </c>
      <c r="T28" s="191">
        <f t="shared" si="9"/>
        <v>0.18255118110236224</v>
      </c>
      <c r="U28" s="191">
        <f t="shared" si="10"/>
        <v>1.3691338582677168</v>
      </c>
      <c r="V28" s="191">
        <f t="shared" si="11"/>
        <v>1.3475726951453904</v>
      </c>
      <c r="W28" s="175">
        <f t="shared" si="12"/>
        <v>350</v>
      </c>
      <c r="X28" s="386">
        <f t="shared" si="52"/>
        <v>350</v>
      </c>
      <c r="Z28" s="191">
        <f t="shared" si="13"/>
        <v>0.19198790627362058</v>
      </c>
      <c r="AA28" s="153">
        <f t="shared" si="14"/>
        <v>1.4172335600907029</v>
      </c>
      <c r="AB28" s="153">
        <f t="shared" si="15"/>
        <v>4.7616048182941621E-2</v>
      </c>
      <c r="AC28" s="153"/>
      <c r="AD28" s="153">
        <f t="shared" si="16"/>
        <v>1.1072834645669289</v>
      </c>
      <c r="AE28" s="317">
        <f t="shared" si="17"/>
        <v>276.95407407407419</v>
      </c>
      <c r="AF28" s="463">
        <f t="shared" si="18"/>
        <v>2.9066190944881887E-2</v>
      </c>
      <c r="AH28" s="153">
        <f t="shared" si="19"/>
        <v>0.17760308877622921</v>
      </c>
      <c r="AI28" s="153">
        <f t="shared" si="20"/>
        <v>0.17760308877622921</v>
      </c>
      <c r="AJ28" s="153">
        <f t="shared" si="21"/>
        <v>1.1582594708994709</v>
      </c>
      <c r="AL28" s="317">
        <f t="shared" si="22"/>
        <v>23.000000000000004</v>
      </c>
      <c r="AM28" s="147">
        <f t="shared" si="23"/>
        <v>276.95407407407419</v>
      </c>
      <c r="AO28">
        <f t="shared" si="53"/>
        <v>23.000000000000004</v>
      </c>
      <c r="AP28" s="147">
        <f t="shared" si="24"/>
        <v>276.95407407407419</v>
      </c>
      <c r="AQ28" s="147"/>
      <c r="AR28" s="5">
        <f t="shared" si="54"/>
        <v>3.6107069496747677</v>
      </c>
      <c r="AS28" s="5">
        <f t="shared" si="25"/>
        <v>1.3320231658217192</v>
      </c>
      <c r="AT28" s="5">
        <f t="shared" si="55"/>
        <v>2.2786837838530483</v>
      </c>
      <c r="AU28" s="153">
        <f t="shared" si="56"/>
        <v>0.36890924253537122</v>
      </c>
      <c r="AW28" s="5">
        <f t="shared" si="26"/>
        <v>1.7236920000000002</v>
      </c>
      <c r="AX28" s="5">
        <f t="shared" si="27"/>
        <v>0.98083306800000014</v>
      </c>
      <c r="AY28" s="5">
        <f t="shared" si="28"/>
        <v>1.7372910952321905</v>
      </c>
      <c r="AZ28" s="5">
        <f t="shared" si="29"/>
        <v>0.7143832650020574</v>
      </c>
      <c r="BA28" s="5">
        <f t="shared" si="30"/>
        <v>0.10481945405724022</v>
      </c>
      <c r="BB28" s="147">
        <f t="shared" si="31"/>
        <v>10.619945405724023</v>
      </c>
      <c r="BC28" s="5"/>
      <c r="BD28" s="153">
        <f t="shared" si="57"/>
        <v>6.2280150759753454E-2</v>
      </c>
      <c r="BE28" s="153">
        <f t="shared" si="32"/>
        <v>8.1458385299661429E-2</v>
      </c>
      <c r="BF28" s="153">
        <f t="shared" si="33"/>
        <v>8.1138940651427474E-2</v>
      </c>
      <c r="BG28" s="153"/>
      <c r="BH28" s="463">
        <f t="shared" si="34"/>
        <v>1.3575860125301664E-3</v>
      </c>
      <c r="BI28" s="463">
        <f t="shared" si="35"/>
        <v>9.9162804393507793E-3</v>
      </c>
      <c r="BJ28" s="463">
        <f t="shared" si="36"/>
        <v>3.4619259259259269E-3</v>
      </c>
      <c r="BK28" s="463">
        <f t="shared" si="37"/>
        <v>2.2512245145600015E-2</v>
      </c>
      <c r="BL28">
        <f t="shared" si="38"/>
        <v>5.7999999999999996E-3</v>
      </c>
      <c r="BM28">
        <f t="shared" si="39"/>
        <v>1.0385777777777782E-5</v>
      </c>
      <c r="BN28">
        <f t="shared" si="40"/>
        <v>4.3252531074131302E-2</v>
      </c>
      <c r="BO28" s="147">
        <f t="shared" si="58"/>
        <v>43.252531074131305</v>
      </c>
      <c r="BP28" s="153">
        <f t="shared" si="41"/>
        <v>1.3855497961219867E-2</v>
      </c>
      <c r="BQ28" s="153">
        <f t="shared" si="42"/>
        <v>1.3815815155187407E-2</v>
      </c>
      <c r="BR28" s="463"/>
      <c r="BT28" s="147">
        <f t="shared" si="59"/>
        <v>27.671313116407276</v>
      </c>
      <c r="BU28" s="463">
        <f t="shared" si="43"/>
        <v>3.1030537429260954E-3</v>
      </c>
      <c r="BV28" s="463">
        <f t="shared" si="60"/>
        <v>5.2818329543599654E-3</v>
      </c>
      <c r="BW28" s="463">
        <f t="shared" si="44"/>
        <v>3.291763845017935E-4</v>
      </c>
      <c r="BX28" s="463">
        <f t="shared" si="45"/>
        <v>0</v>
      </c>
      <c r="BY28" s="463">
        <f t="shared" si="46"/>
        <v>9.7665591646145938E-3</v>
      </c>
      <c r="BZ28" s="463">
        <f t="shared" si="61"/>
        <v>8.7140630817878536E-3</v>
      </c>
      <c r="CA28" s="549">
        <f t="shared" si="47"/>
        <v>1.3103884190476202E-2</v>
      </c>
      <c r="CB28" s="147">
        <f t="shared" si="62"/>
        <v>22.870443355090796</v>
      </c>
      <c r="CC28" s="153">
        <f t="shared" si="63"/>
        <v>9.3794287545629365E-2</v>
      </c>
      <c r="CD28" s="5">
        <f t="shared" si="64"/>
        <v>0.82800000000000007</v>
      </c>
      <c r="CE28" s="153">
        <f t="shared" si="65"/>
        <v>0.89824813538889881</v>
      </c>
      <c r="CF28" s="5">
        <f t="shared" si="66"/>
        <v>89.824813538889885</v>
      </c>
      <c r="CG28">
        <f t="shared" si="67"/>
        <v>23</v>
      </c>
      <c r="CI28" s="59">
        <f t="shared" si="48"/>
        <v>-50</v>
      </c>
      <c r="CJ28">
        <f t="shared" si="49"/>
        <v>-50</v>
      </c>
    </row>
    <row r="29" spans="5:88" x14ac:dyDescent="0.25">
      <c r="E29" s="150">
        <v>24</v>
      </c>
      <c r="F29" s="191">
        <f t="shared" si="68"/>
        <v>2.4E-2</v>
      </c>
      <c r="G29" s="191">
        <f t="shared" si="50"/>
        <v>2.4E-2</v>
      </c>
      <c r="H29" s="191">
        <f t="shared" si="0"/>
        <v>0.48</v>
      </c>
      <c r="I29" s="191">
        <f t="shared" si="69"/>
        <v>0.38400000000000001</v>
      </c>
      <c r="J29" s="472">
        <f t="shared" si="1"/>
        <v>20</v>
      </c>
      <c r="K29" s="386">
        <f t="shared" si="2"/>
        <v>20.32</v>
      </c>
      <c r="L29" s="386">
        <f t="shared" si="3"/>
        <v>40.32</v>
      </c>
      <c r="M29" s="386"/>
      <c r="N29" s="191">
        <f t="shared" si="4"/>
        <v>0.50396825396825395</v>
      </c>
      <c r="O29" s="152">
        <f t="shared" si="51"/>
        <v>1.8898809523809523</v>
      </c>
      <c r="P29" s="152">
        <f t="shared" si="5"/>
        <v>2.7214285714285715</v>
      </c>
      <c r="Q29" s="191">
        <f t="shared" si="6"/>
        <v>9.4494047619047616E-2</v>
      </c>
      <c r="R29" s="191">
        <f t="shared" si="7"/>
        <v>0.11811755952380952</v>
      </c>
      <c r="S29" s="386">
        <f t="shared" si="8"/>
        <v>20</v>
      </c>
      <c r="T29" s="191">
        <f t="shared" si="9"/>
        <v>0.19048818897637795</v>
      </c>
      <c r="U29" s="191">
        <f t="shared" si="10"/>
        <v>1.4286614173228347</v>
      </c>
      <c r="V29" s="191">
        <f t="shared" si="11"/>
        <v>1.4061628123256247</v>
      </c>
      <c r="W29" s="175">
        <f t="shared" si="12"/>
        <v>350</v>
      </c>
      <c r="X29" s="386">
        <f t="shared" si="52"/>
        <v>350</v>
      </c>
      <c r="Z29" s="191">
        <f t="shared" si="13"/>
        <v>0.19198790627362058</v>
      </c>
      <c r="AA29" s="153">
        <f t="shared" si="14"/>
        <v>1.4172335600907029</v>
      </c>
      <c r="AB29" s="153">
        <f t="shared" si="15"/>
        <v>4.7616048182941621E-2</v>
      </c>
      <c r="AC29" s="153"/>
      <c r="AD29" s="153">
        <f t="shared" si="16"/>
        <v>1.1072834645669289</v>
      </c>
      <c r="AE29" s="317">
        <f t="shared" si="17"/>
        <v>288.99555555555554</v>
      </c>
      <c r="AF29" s="463">
        <f t="shared" si="18"/>
        <v>2.9066190944881887E-2</v>
      </c>
      <c r="AH29" s="153">
        <f t="shared" si="19"/>
        <v>0.18142294704442907</v>
      </c>
      <c r="AI29" s="153">
        <f t="shared" si="20"/>
        <v>0.18142294704442907</v>
      </c>
      <c r="AJ29" s="153">
        <f t="shared" si="21"/>
        <v>1.1651403174603174</v>
      </c>
      <c r="AL29" s="317">
        <f t="shared" si="22"/>
        <v>24</v>
      </c>
      <c r="AM29" s="147">
        <f t="shared" si="23"/>
        <v>288.99555555555554</v>
      </c>
      <c r="AO29">
        <f t="shared" si="53"/>
        <v>24</v>
      </c>
      <c r="AP29" s="147">
        <f t="shared" si="24"/>
        <v>288.99555555555554</v>
      </c>
      <c r="AQ29" s="147"/>
      <c r="AR29" s="5">
        <f t="shared" si="54"/>
        <v>3.4602608267716537</v>
      </c>
      <c r="AS29" s="5">
        <f t="shared" si="25"/>
        <v>1.3606721028332178</v>
      </c>
      <c r="AT29" s="5">
        <f t="shared" si="55"/>
        <v>2.0995887239384361</v>
      </c>
      <c r="AU29" s="153">
        <f t="shared" si="56"/>
        <v>0.39322819028723177</v>
      </c>
      <c r="AW29" s="5">
        <f t="shared" si="26"/>
        <v>1.7236920000000002</v>
      </c>
      <c r="AX29" s="5">
        <f t="shared" si="27"/>
        <v>1.0648465919999999</v>
      </c>
      <c r="AY29" s="5">
        <f t="shared" si="28"/>
        <v>1.7372910952321905</v>
      </c>
      <c r="AZ29" s="5">
        <f t="shared" si="29"/>
        <v>0.77576703334817565</v>
      </c>
      <c r="BA29" s="5">
        <f t="shared" si="30"/>
        <v>0.10078025874904493</v>
      </c>
      <c r="BB29" s="147">
        <f t="shared" si="31"/>
        <v>10.222025874904494</v>
      </c>
      <c r="BC29" s="5"/>
      <c r="BD29" s="153">
        <f t="shared" si="57"/>
        <v>6.5683140926789479E-2</v>
      </c>
      <c r="BE29" s="153">
        <f t="shared" si="32"/>
        <v>8.1591381710448357E-2</v>
      </c>
      <c r="BF29" s="153">
        <f t="shared" si="33"/>
        <v>8.1271415507662287E-2</v>
      </c>
      <c r="BG29" s="153"/>
      <c r="BH29" s="463">
        <f t="shared" si="34"/>
        <v>1.5099962507029705E-3</v>
      </c>
      <c r="BI29" s="463">
        <f t="shared" si="35"/>
        <v>1.0569973754920792E-2</v>
      </c>
      <c r="BJ29" s="463">
        <f t="shared" si="36"/>
        <v>3.6124444444444437E-3</v>
      </c>
      <c r="BK29" s="463">
        <f t="shared" si="37"/>
        <v>2.3491038412800001E-2</v>
      </c>
      <c r="BL29">
        <f t="shared" si="38"/>
        <v>5.7999999999999996E-3</v>
      </c>
      <c r="BM29">
        <f t="shared" si="39"/>
        <v>1.0837333333333332E-5</v>
      </c>
      <c r="BN29">
        <f t="shared" si="40"/>
        <v>4.521073514352944E-2</v>
      </c>
      <c r="BO29" s="147">
        <f t="shared" si="58"/>
        <v>45.21073514352944</v>
      </c>
      <c r="BP29" s="153">
        <f t="shared" si="41"/>
        <v>1.4254065327036948E-2</v>
      </c>
      <c r="BQ29" s="153">
        <f t="shared" si="42"/>
        <v>1.4214252835664985E-2</v>
      </c>
      <c r="BR29" s="463"/>
      <c r="BT29" s="147">
        <f t="shared" si="59"/>
        <v>28.468318162701934</v>
      </c>
      <c r="BU29" s="463">
        <f t="shared" si="43"/>
        <v>3.45142000160679E-3</v>
      </c>
      <c r="BV29" s="463">
        <f t="shared" si="60"/>
        <v>5.299094241258389E-3</v>
      </c>
      <c r="BW29" s="463">
        <f t="shared" si="44"/>
        <v>3.3025214893095449E-4</v>
      </c>
      <c r="BX29" s="463">
        <f t="shared" si="45"/>
        <v>0</v>
      </c>
      <c r="BY29" s="463">
        <f t="shared" si="46"/>
        <v>1.0177852174649128E-2</v>
      </c>
      <c r="BZ29" s="463">
        <f t="shared" si="61"/>
        <v>9.0807663917961325E-3</v>
      </c>
      <c r="CA29" s="549">
        <f t="shared" si="47"/>
        <v>1.4268123428571429E-2</v>
      </c>
      <c r="CB29" s="147">
        <f t="shared" si="62"/>
        <v>24.445975603220557</v>
      </c>
      <c r="CC29" s="153">
        <f t="shared" si="63"/>
        <v>9.8125028909451933E-2</v>
      </c>
      <c r="CD29" s="5">
        <f t="shared" si="64"/>
        <v>0.86399999999999999</v>
      </c>
      <c r="CE29" s="153">
        <f t="shared" si="65"/>
        <v>0.89801218556732221</v>
      </c>
      <c r="CF29" s="5">
        <f t="shared" si="66"/>
        <v>89.801218556732223</v>
      </c>
      <c r="CG29">
        <f t="shared" si="67"/>
        <v>24</v>
      </c>
      <c r="CI29" s="59">
        <f t="shared" si="48"/>
        <v>-50</v>
      </c>
      <c r="CJ29">
        <f t="shared" si="49"/>
        <v>-50</v>
      </c>
    </row>
    <row r="30" spans="5:88" x14ac:dyDescent="0.25">
      <c r="E30" s="150">
        <v>25</v>
      </c>
      <c r="F30" s="191">
        <f t="shared" si="68"/>
        <v>2.5000000000000001E-2</v>
      </c>
      <c r="G30" s="191">
        <f t="shared" si="50"/>
        <v>2.5000000000000001E-2</v>
      </c>
      <c r="H30" s="191">
        <f t="shared" si="0"/>
        <v>0.5</v>
      </c>
      <c r="I30" s="191">
        <f t="shared" si="69"/>
        <v>0.4</v>
      </c>
      <c r="J30" s="472">
        <f t="shared" si="1"/>
        <v>20</v>
      </c>
      <c r="K30" s="386">
        <f t="shared" si="2"/>
        <v>20.32</v>
      </c>
      <c r="L30" s="386">
        <f t="shared" si="3"/>
        <v>40.32</v>
      </c>
      <c r="M30" s="386"/>
      <c r="N30" s="191">
        <f t="shared" si="4"/>
        <v>0.50396825396825395</v>
      </c>
      <c r="O30" s="152">
        <f t="shared" si="51"/>
        <v>1.8898809523809523</v>
      </c>
      <c r="P30" s="152">
        <f t="shared" si="5"/>
        <v>2.7214285714285715</v>
      </c>
      <c r="Q30" s="191">
        <f t="shared" si="6"/>
        <v>9.4494047619047616E-2</v>
      </c>
      <c r="R30" s="191">
        <f t="shared" si="7"/>
        <v>0.11811755952380952</v>
      </c>
      <c r="S30" s="386">
        <f t="shared" si="8"/>
        <v>20</v>
      </c>
      <c r="T30" s="191">
        <f t="shared" si="9"/>
        <v>0.1984251968503937</v>
      </c>
      <c r="U30" s="191">
        <f t="shared" si="10"/>
        <v>1.4881889763779528</v>
      </c>
      <c r="V30" s="191">
        <f t="shared" si="11"/>
        <v>1.4647529295058588</v>
      </c>
      <c r="W30" s="175">
        <f t="shared" si="12"/>
        <v>350</v>
      </c>
      <c r="X30" s="386">
        <f t="shared" si="52"/>
        <v>338.64533467708077</v>
      </c>
      <c r="Z30" s="191">
        <f t="shared" si="13"/>
        <v>0.19198790627362058</v>
      </c>
      <c r="AA30" s="153">
        <f t="shared" si="14"/>
        <v>1.4172335600907029</v>
      </c>
      <c r="AB30" s="153">
        <f t="shared" si="15"/>
        <v>4.7616048182941621E-2</v>
      </c>
      <c r="AC30" s="153"/>
      <c r="AD30" s="153">
        <f t="shared" si="16"/>
        <v>1.1072834645669289</v>
      </c>
      <c r="AE30" s="317">
        <f t="shared" si="17"/>
        <v>301.03703703703707</v>
      </c>
      <c r="AF30" s="463">
        <f t="shared" si="18"/>
        <v>2.9066190944881887E-2</v>
      </c>
      <c r="AH30" s="153">
        <f t="shared" si="19"/>
        <v>0.18516401995451032</v>
      </c>
      <c r="AI30" s="153">
        <f t="shared" si="20"/>
        <v>0.18516401995451032</v>
      </c>
      <c r="AJ30" s="153">
        <f t="shared" si="21"/>
        <v>1.172021164021164</v>
      </c>
      <c r="AL30" s="317">
        <f t="shared" si="22"/>
        <v>25</v>
      </c>
      <c r="AM30" s="147">
        <f t="shared" si="23"/>
        <v>301.03703703703707</v>
      </c>
      <c r="AO30">
        <f t="shared" si="53"/>
        <v>25</v>
      </c>
      <c r="AP30" s="147">
        <f t="shared" si="24"/>
        <v>301.03703703703707</v>
      </c>
      <c r="AQ30" s="147"/>
      <c r="AR30" s="5">
        <f t="shared" si="54"/>
        <v>3.3218503937007871</v>
      </c>
      <c r="AS30" s="5">
        <f t="shared" si="25"/>
        <v>1.3887301496588271</v>
      </c>
      <c r="AT30" s="5">
        <f t="shared" si="55"/>
        <v>1.9331202440419599</v>
      </c>
      <c r="AU30" s="153">
        <f t="shared" si="56"/>
        <v>0.41805920949729436</v>
      </c>
      <c r="AW30" s="5">
        <f t="shared" si="26"/>
        <v>1.7236920000000002</v>
      </c>
      <c r="AX30" s="5">
        <f t="shared" si="27"/>
        <v>1.1523075</v>
      </c>
      <c r="AY30" s="5">
        <f t="shared" si="28"/>
        <v>1.7372910952321905</v>
      </c>
      <c r="AZ30" s="5">
        <f t="shared" si="29"/>
        <v>0.83967777056008663</v>
      </c>
      <c r="BA30" s="5">
        <f t="shared" si="30"/>
        <v>9.6656012202098004E-2</v>
      </c>
      <c r="BB30" s="147">
        <f t="shared" si="31"/>
        <v>9.8156012202097997</v>
      </c>
      <c r="BC30" s="5"/>
      <c r="BD30" s="153">
        <f t="shared" si="57"/>
        <v>6.9121773249186377E-2</v>
      </c>
      <c r="BE30" s="153">
        <f t="shared" si="32"/>
        <v>8.1552142163523175E-2</v>
      </c>
      <c r="BF30" s="153">
        <f t="shared" si="33"/>
        <v>8.1232329841313289E-2</v>
      </c>
      <c r="BG30" s="153"/>
      <c r="BH30" s="463">
        <f t="shared" si="34"/>
        <v>1.672236837989178E-3</v>
      </c>
      <c r="BI30" s="463">
        <f t="shared" si="35"/>
        <v>1.1237431551287275E-2</v>
      </c>
      <c r="BJ30" s="463">
        <f t="shared" si="36"/>
        <v>3.7629629629629632E-3</v>
      </c>
      <c r="BK30" s="463">
        <f t="shared" si="37"/>
        <v>2.4469831680000009E-2</v>
      </c>
      <c r="BL30">
        <f t="shared" si="38"/>
        <v>5.7999999999999996E-3</v>
      </c>
      <c r="BM30">
        <f t="shared" si="39"/>
        <v>1.1288888888888889E-5</v>
      </c>
      <c r="BN30">
        <f t="shared" si="40"/>
        <v>4.7194064570292342E-2</v>
      </c>
      <c r="BO30" s="147">
        <f t="shared" si="58"/>
        <v>47.19406457029234</v>
      </c>
      <c r="BP30" s="153">
        <f t="shared" si="41"/>
        <v>1.4631174445075055E-2</v>
      </c>
      <c r="BQ30" s="153">
        <f t="shared" si="42"/>
        <v>1.4591400238346212E-2</v>
      </c>
      <c r="BR30" s="463"/>
      <c r="BT30" s="147">
        <f t="shared" si="59"/>
        <v>29.222574683421264</v>
      </c>
      <c r="BU30" s="463">
        <f t="shared" si="43"/>
        <v>3.8222556296895502E-3</v>
      </c>
      <c r="BV30" s="463">
        <f t="shared" si="60"/>
        <v>5.2939985056017578E-3</v>
      </c>
      <c r="BW30" s="463">
        <f t="shared" si="44"/>
        <v>3.2993457057239591E-4</v>
      </c>
      <c r="BX30" s="463">
        <f t="shared" si="45"/>
        <v>0</v>
      </c>
      <c r="BY30" s="463">
        <f t="shared" si="46"/>
        <v>1.0587732448061077E-2</v>
      </c>
      <c r="BZ30" s="463">
        <f t="shared" si="61"/>
        <v>9.4461887058637038E-3</v>
      </c>
      <c r="CA30" s="549">
        <f t="shared" si="47"/>
        <v>1.5481904761904766E-2</v>
      </c>
      <c r="CB30" s="147">
        <f t="shared" si="62"/>
        <v>26.069637209965844</v>
      </c>
      <c r="CC30" s="153">
        <f t="shared" si="63"/>
        <v>0.10248627646367946</v>
      </c>
      <c r="CD30" s="5">
        <f t="shared" si="64"/>
        <v>0.9</v>
      </c>
      <c r="CE30" s="153">
        <f t="shared" si="65"/>
        <v>0.89776790079839797</v>
      </c>
      <c r="CF30" s="5">
        <f t="shared" si="66"/>
        <v>89.776790079839799</v>
      </c>
      <c r="CG30">
        <f t="shared" si="67"/>
        <v>25</v>
      </c>
      <c r="CI30" s="59">
        <f t="shared" si="48"/>
        <v>-50</v>
      </c>
      <c r="CJ30">
        <f t="shared" si="49"/>
        <v>-50</v>
      </c>
    </row>
    <row r="31" spans="5:88" x14ac:dyDescent="0.25">
      <c r="E31" s="150">
        <v>26</v>
      </c>
      <c r="F31" s="191">
        <f t="shared" si="68"/>
        <v>2.6000000000000002E-2</v>
      </c>
      <c r="G31" s="191">
        <f t="shared" si="50"/>
        <v>2.6000000000000002E-2</v>
      </c>
      <c r="H31" s="191">
        <f t="shared" si="0"/>
        <v>0.52</v>
      </c>
      <c r="I31" s="191">
        <f t="shared" si="69"/>
        <v>0.41600000000000004</v>
      </c>
      <c r="J31" s="472">
        <f t="shared" si="1"/>
        <v>20</v>
      </c>
      <c r="K31" s="386">
        <f t="shared" si="2"/>
        <v>20.32</v>
      </c>
      <c r="L31" s="386">
        <f t="shared" si="3"/>
        <v>40.32</v>
      </c>
      <c r="M31" s="386"/>
      <c r="N31" s="191">
        <f t="shared" si="4"/>
        <v>0.50396825396825395</v>
      </c>
      <c r="O31" s="152">
        <f t="shared" si="51"/>
        <v>1.8898809523809523</v>
      </c>
      <c r="P31" s="152">
        <f t="shared" si="5"/>
        <v>2.7214285714285715</v>
      </c>
      <c r="Q31" s="191">
        <f t="shared" si="6"/>
        <v>9.4494047619047616E-2</v>
      </c>
      <c r="R31" s="191">
        <f t="shared" si="7"/>
        <v>0.11811755952380952</v>
      </c>
      <c r="S31" s="386">
        <f t="shared" si="8"/>
        <v>20</v>
      </c>
      <c r="T31" s="191">
        <f t="shared" si="9"/>
        <v>0.20636220472440947</v>
      </c>
      <c r="U31" s="191">
        <f t="shared" si="10"/>
        <v>1.5477165354330711</v>
      </c>
      <c r="V31" s="191">
        <f t="shared" si="11"/>
        <v>1.5233430466860935</v>
      </c>
      <c r="W31" s="175">
        <f t="shared" si="12"/>
        <v>350</v>
      </c>
      <c r="X31" s="386">
        <f t="shared" si="52"/>
        <v>325.62051411257761</v>
      </c>
      <c r="Z31" s="191">
        <f t="shared" si="13"/>
        <v>0.19198790627362058</v>
      </c>
      <c r="AA31" s="153">
        <f t="shared" si="14"/>
        <v>1.4172335600907029</v>
      </c>
      <c r="AB31" s="153">
        <f t="shared" si="15"/>
        <v>4.7616048182941621E-2</v>
      </c>
      <c r="AC31" s="153"/>
      <c r="AD31" s="153">
        <f t="shared" si="16"/>
        <v>1.1072834645669289</v>
      </c>
      <c r="AE31" s="317">
        <f t="shared" si="17"/>
        <v>313.07851851851854</v>
      </c>
      <c r="AF31" s="463">
        <f t="shared" si="18"/>
        <v>2.9066190944881887E-2</v>
      </c>
      <c r="AH31" s="153">
        <f t="shared" si="19"/>
        <v>0.18883099019266639</v>
      </c>
      <c r="AI31" s="153">
        <f t="shared" si="20"/>
        <v>0.18883099019266639</v>
      </c>
      <c r="AJ31" s="153">
        <f t="shared" si="21"/>
        <v>1.1789020105820107</v>
      </c>
      <c r="AL31" s="317">
        <f t="shared" si="22"/>
        <v>26.000000000000004</v>
      </c>
      <c r="AM31" s="147">
        <f t="shared" si="23"/>
        <v>313.07851851851854</v>
      </c>
      <c r="AO31">
        <f t="shared" si="53"/>
        <v>26.000000000000004</v>
      </c>
      <c r="AP31" s="147">
        <f t="shared" si="24"/>
        <v>313.07851851851854</v>
      </c>
      <c r="AQ31" s="147"/>
      <c r="AR31" s="5">
        <f t="shared" si="54"/>
        <v>3.1940869170199879</v>
      </c>
      <c r="AS31" s="5">
        <f t="shared" si="25"/>
        <v>1.4162324264449979</v>
      </c>
      <c r="AT31" s="5">
        <f t="shared" si="55"/>
        <v>1.77785449057499</v>
      </c>
      <c r="AU31" s="153">
        <f t="shared" si="56"/>
        <v>0.44339194994928671</v>
      </c>
      <c r="AW31" s="5">
        <f t="shared" si="26"/>
        <v>1.7236920000000002</v>
      </c>
      <c r="AX31" s="5">
        <f t="shared" si="27"/>
        <v>1.2432157920000002</v>
      </c>
      <c r="AY31" s="5">
        <f t="shared" si="28"/>
        <v>1.7372910952321905</v>
      </c>
      <c r="AZ31" s="5">
        <f t="shared" si="29"/>
        <v>0.90611547663778991</v>
      </c>
      <c r="BA31" s="5">
        <f t="shared" si="30"/>
        <v>9.2448433509899494E-2</v>
      </c>
      <c r="BB31" s="147">
        <f t="shared" si="31"/>
        <v>9.4008433509899483</v>
      </c>
      <c r="BC31" s="5"/>
      <c r="BD31" s="153">
        <f t="shared" si="57"/>
        <v>7.2594972509692102E-2</v>
      </c>
      <c r="BE31" s="153">
        <f t="shared" si="32"/>
        <v>8.1336856664315088E-2</v>
      </c>
      <c r="BF31" s="153">
        <f t="shared" si="33"/>
        <v>8.1017888598964846E-2</v>
      </c>
      <c r="BG31" s="153"/>
      <c r="BH31" s="463">
        <f t="shared" si="34"/>
        <v>1.844510511789033E-3</v>
      </c>
      <c r="BI31" s="463">
        <f t="shared" si="35"/>
        <v>1.1918375614636828E-2</v>
      </c>
      <c r="BJ31" s="463">
        <f t="shared" si="36"/>
        <v>3.9134814814814813E-3</v>
      </c>
      <c r="BK31" s="463">
        <f t="shared" si="37"/>
        <v>2.5448624947200005E-2</v>
      </c>
      <c r="BL31">
        <f t="shared" si="38"/>
        <v>5.7999999999999996E-3</v>
      </c>
      <c r="BM31">
        <f t="shared" si="39"/>
        <v>1.1740444444444444E-5</v>
      </c>
      <c r="BN31">
        <f t="shared" si="40"/>
        <v>4.920248612442147E-2</v>
      </c>
      <c r="BO31" s="147">
        <f t="shared" si="58"/>
        <v>49.202486124421469</v>
      </c>
      <c r="BP31" s="153">
        <f t="shared" si="41"/>
        <v>1.4986382768551946E-2</v>
      </c>
      <c r="BQ31" s="153">
        <f t="shared" si="42"/>
        <v>1.4946818280598191E-2</v>
      </c>
      <c r="BR31" s="463"/>
      <c r="BT31" s="147">
        <f t="shared" si="59"/>
        <v>29.933201049150135</v>
      </c>
      <c r="BU31" s="463">
        <f t="shared" si="43"/>
        <v>4.2160240269463614E-3</v>
      </c>
      <c r="BV31" s="463">
        <f t="shared" si="60"/>
        <v>5.2660846646169455E-3</v>
      </c>
      <c r="BW31" s="463">
        <f t="shared" si="44"/>
        <v>3.2819491365171393E-4</v>
      </c>
      <c r="BX31" s="463">
        <f t="shared" si="45"/>
        <v>0</v>
      </c>
      <c r="BY31" s="463">
        <f t="shared" si="46"/>
        <v>1.0996170099214253E-2</v>
      </c>
      <c r="BZ31" s="463">
        <f t="shared" si="61"/>
        <v>9.8103036052150198E-3</v>
      </c>
      <c r="CA31" s="549">
        <f t="shared" si="47"/>
        <v>1.6745228190476195E-2</v>
      </c>
      <c r="CB31" s="147">
        <f t="shared" si="62"/>
        <v>27.741398289690444</v>
      </c>
      <c r="CC31" s="153">
        <f t="shared" si="63"/>
        <v>0.10687708546326205</v>
      </c>
      <c r="CD31" s="5">
        <f t="shared" si="64"/>
        <v>0.93600000000000005</v>
      </c>
      <c r="CE31" s="153">
        <f t="shared" si="65"/>
        <v>0.89751708331400759</v>
      </c>
      <c r="CF31" s="5">
        <f t="shared" si="66"/>
        <v>89.751708331400764</v>
      </c>
      <c r="CG31">
        <f t="shared" si="67"/>
        <v>26</v>
      </c>
      <c r="CI31" s="59">
        <f t="shared" si="48"/>
        <v>-50</v>
      </c>
      <c r="CJ31">
        <f t="shared" si="49"/>
        <v>-50</v>
      </c>
    </row>
    <row r="32" spans="5:88" x14ac:dyDescent="0.25">
      <c r="E32" s="150">
        <v>27</v>
      </c>
      <c r="F32" s="191">
        <f t="shared" si="68"/>
        <v>2.7000000000000003E-2</v>
      </c>
      <c r="G32" s="191">
        <f t="shared" si="50"/>
        <v>2.7000000000000003E-2</v>
      </c>
      <c r="H32" s="191">
        <f t="shared" si="0"/>
        <v>0.54</v>
      </c>
      <c r="I32" s="191">
        <f t="shared" si="69"/>
        <v>0.43200000000000005</v>
      </c>
      <c r="J32" s="472">
        <f t="shared" si="1"/>
        <v>20</v>
      </c>
      <c r="K32" s="386">
        <f t="shared" si="2"/>
        <v>20.32</v>
      </c>
      <c r="L32" s="386">
        <f t="shared" si="3"/>
        <v>40.32</v>
      </c>
      <c r="M32" s="386"/>
      <c r="N32" s="191">
        <f t="shared" si="4"/>
        <v>0.50396825396825395</v>
      </c>
      <c r="O32" s="152">
        <f t="shared" si="51"/>
        <v>1.8898809523809523</v>
      </c>
      <c r="P32" s="152">
        <f t="shared" si="5"/>
        <v>2.7214285714285715</v>
      </c>
      <c r="Q32" s="191">
        <f t="shared" si="6"/>
        <v>9.4494047619047616E-2</v>
      </c>
      <c r="R32" s="191">
        <f t="shared" si="7"/>
        <v>0.11811755952380952</v>
      </c>
      <c r="S32" s="386">
        <f t="shared" si="8"/>
        <v>20</v>
      </c>
      <c r="T32" s="191">
        <f t="shared" si="9"/>
        <v>0.21429921259842521</v>
      </c>
      <c r="U32" s="191">
        <f t="shared" si="10"/>
        <v>1.6072440944881889</v>
      </c>
      <c r="V32" s="191">
        <f t="shared" si="11"/>
        <v>1.5819331638663277</v>
      </c>
      <c r="W32" s="175">
        <f t="shared" si="12"/>
        <v>350</v>
      </c>
      <c r="X32" s="386">
        <f t="shared" si="52"/>
        <v>313.56049507137107</v>
      </c>
      <c r="Z32" s="191">
        <f t="shared" si="13"/>
        <v>0.19198790627362058</v>
      </c>
      <c r="AA32" s="153">
        <f t="shared" si="14"/>
        <v>1.4172335600907029</v>
      </c>
      <c r="AB32" s="153">
        <f t="shared" si="15"/>
        <v>4.7616048182941621E-2</v>
      </c>
      <c r="AC32" s="153"/>
      <c r="AD32" s="153">
        <f t="shared" si="16"/>
        <v>1.1072834645669289</v>
      </c>
      <c r="AE32" s="317">
        <f t="shared" si="17"/>
        <v>325.12000000000006</v>
      </c>
      <c r="AF32" s="463">
        <f t="shared" si="18"/>
        <v>2.9066190944881887E-2</v>
      </c>
      <c r="AH32" s="153">
        <f t="shared" si="19"/>
        <v>0.19242809417694559</v>
      </c>
      <c r="AI32" s="153">
        <f t="shared" si="20"/>
        <v>0.19242809417694559</v>
      </c>
      <c r="AJ32" s="153">
        <f t="shared" si="21"/>
        <v>1.1857828571428572</v>
      </c>
      <c r="AL32" s="317">
        <f t="shared" si="22"/>
        <v>27.000000000000004</v>
      </c>
      <c r="AM32" s="147">
        <f t="shared" si="23"/>
        <v>325.12000000000006</v>
      </c>
      <c r="AO32">
        <f t="shared" si="53"/>
        <v>27.000000000000004</v>
      </c>
      <c r="AP32" s="147">
        <f t="shared" si="24"/>
        <v>325.12000000000006</v>
      </c>
      <c r="AQ32" s="147"/>
      <c r="AR32" s="5">
        <f t="shared" si="54"/>
        <v>3.0757874015748023</v>
      </c>
      <c r="AS32" s="5">
        <f t="shared" si="25"/>
        <v>1.4432107063270918</v>
      </c>
      <c r="AT32" s="5">
        <f t="shared" si="55"/>
        <v>1.6325766952477105</v>
      </c>
      <c r="AU32" s="153">
        <f t="shared" si="56"/>
        <v>0.46921666484106422</v>
      </c>
      <c r="AW32" s="5">
        <f t="shared" si="26"/>
        <v>1.7236920000000002</v>
      </c>
      <c r="AX32" s="5">
        <f t="shared" si="27"/>
        <v>1.3375714679999997</v>
      </c>
      <c r="AY32" s="5">
        <f t="shared" si="28"/>
        <v>1.7372910952321905</v>
      </c>
      <c r="AZ32" s="5">
        <f t="shared" si="29"/>
        <v>0.97508015158128503</v>
      </c>
      <c r="BA32" s="5">
        <f t="shared" si="30"/>
        <v>8.8159141543376382E-2</v>
      </c>
      <c r="BB32" s="147">
        <f t="shared" si="31"/>
        <v>8.977914154337638</v>
      </c>
      <c r="BC32" s="5"/>
      <c r="BD32" s="153">
        <f t="shared" si="57"/>
        <v>7.6101736269162334E-2</v>
      </c>
      <c r="BE32" s="153">
        <f t="shared" si="32"/>
        <v>8.0940613289472968E-2</v>
      </c>
      <c r="BF32" s="153">
        <f t="shared" si="33"/>
        <v>8.0623199119710331E-2</v>
      </c>
      <c r="BG32" s="153"/>
      <c r="BH32" s="463">
        <f t="shared" si="34"/>
        <v>2.027015992113398E-3</v>
      </c>
      <c r="BI32" s="463">
        <f t="shared" si="35"/>
        <v>1.2612543950927807E-2</v>
      </c>
      <c r="BJ32" s="463">
        <f t="shared" si="36"/>
        <v>4.0640000000000008E-3</v>
      </c>
      <c r="BK32" s="463">
        <f t="shared" si="37"/>
        <v>2.6427418214400009E-2</v>
      </c>
      <c r="BL32">
        <f t="shared" si="38"/>
        <v>5.7999999999999996E-3</v>
      </c>
      <c r="BM32">
        <f t="shared" si="39"/>
        <v>1.2192000000000001E-5</v>
      </c>
      <c r="BN32">
        <f t="shared" si="40"/>
        <v>5.1235978775747107E-2</v>
      </c>
      <c r="BO32" s="147">
        <f t="shared" si="58"/>
        <v>51.235978775747107</v>
      </c>
      <c r="BP32" s="153">
        <f t="shared" si="41"/>
        <v>1.5319256520072473E-2</v>
      </c>
      <c r="BQ32" s="153">
        <f t="shared" si="42"/>
        <v>1.5280076580530497E-2</v>
      </c>
      <c r="BR32" s="463"/>
      <c r="BT32" s="147">
        <f t="shared" si="59"/>
        <v>30.599333100602969</v>
      </c>
      <c r="BU32" s="463">
        <f t="shared" si="43"/>
        <v>4.6331794105449109E-3</v>
      </c>
      <c r="BV32" s="463">
        <f t="shared" si="60"/>
        <v>5.2149007722221028E-3</v>
      </c>
      <c r="BW32" s="463">
        <f t="shared" si="44"/>
        <v>3.2500501181482306E-4</v>
      </c>
      <c r="BX32" s="463">
        <f t="shared" si="45"/>
        <v>0</v>
      </c>
      <c r="BY32" s="463">
        <f t="shared" si="46"/>
        <v>1.1403135823709255E-2</v>
      </c>
      <c r="BZ32" s="463">
        <f t="shared" si="61"/>
        <v>1.0173085194581837E-2</v>
      </c>
      <c r="CA32" s="549">
        <f t="shared" si="47"/>
        <v>1.8058093714285725E-2</v>
      </c>
      <c r="CB32" s="147">
        <f t="shared" si="62"/>
        <v>29.461229537994981</v>
      </c>
      <c r="CC32" s="153">
        <f t="shared" si="63"/>
        <v>0.11129654141434507</v>
      </c>
      <c r="CD32" s="5">
        <f t="shared" si="64"/>
        <v>0.97200000000000009</v>
      </c>
      <c r="CE32" s="153">
        <f t="shared" si="65"/>
        <v>0.89726124181192624</v>
      </c>
      <c r="CF32" s="5">
        <f t="shared" si="66"/>
        <v>89.726124181192617</v>
      </c>
      <c r="CG32">
        <f t="shared" si="67"/>
        <v>27</v>
      </c>
      <c r="CI32" s="59">
        <f t="shared" si="48"/>
        <v>-50</v>
      </c>
      <c r="CJ32">
        <f t="shared" si="49"/>
        <v>-50</v>
      </c>
    </row>
    <row r="33" spans="5:88" x14ac:dyDescent="0.25">
      <c r="E33" s="150">
        <v>28</v>
      </c>
      <c r="F33" s="191">
        <f t="shared" si="68"/>
        <v>2.8000000000000004E-2</v>
      </c>
      <c r="G33" s="191">
        <f t="shared" si="50"/>
        <v>2.8000000000000004E-2</v>
      </c>
      <c r="H33" s="191">
        <f t="shared" si="0"/>
        <v>0.56000000000000005</v>
      </c>
      <c r="I33" s="191">
        <f t="shared" si="69"/>
        <v>0.44800000000000006</v>
      </c>
      <c r="J33" s="472">
        <f t="shared" si="1"/>
        <v>20</v>
      </c>
      <c r="K33" s="386">
        <f t="shared" si="2"/>
        <v>20.32</v>
      </c>
      <c r="L33" s="386">
        <f t="shared" si="3"/>
        <v>40.32</v>
      </c>
      <c r="M33" s="386"/>
      <c r="N33" s="191">
        <f t="shared" si="4"/>
        <v>0.50396825396825395</v>
      </c>
      <c r="O33" s="152">
        <f t="shared" si="51"/>
        <v>1.8898809523809523</v>
      </c>
      <c r="P33" s="152">
        <f t="shared" si="5"/>
        <v>2.7214285714285715</v>
      </c>
      <c r="Q33" s="191">
        <f t="shared" si="6"/>
        <v>9.4494047619047616E-2</v>
      </c>
      <c r="R33" s="191">
        <f t="shared" si="7"/>
        <v>0.11811755952380952</v>
      </c>
      <c r="S33" s="386">
        <f t="shared" si="8"/>
        <v>20</v>
      </c>
      <c r="T33" s="191">
        <f t="shared" si="9"/>
        <v>0.22223622047244096</v>
      </c>
      <c r="U33" s="191">
        <f t="shared" si="10"/>
        <v>1.666771653543307</v>
      </c>
      <c r="V33" s="191">
        <f t="shared" si="11"/>
        <v>1.6405232810465622</v>
      </c>
      <c r="W33" s="175">
        <f t="shared" si="12"/>
        <v>350</v>
      </c>
      <c r="X33" s="386">
        <f t="shared" si="52"/>
        <v>302.36190596167921</v>
      </c>
      <c r="Z33" s="191">
        <f t="shared" si="13"/>
        <v>0.19198790627362058</v>
      </c>
      <c r="AA33" s="153">
        <f t="shared" si="14"/>
        <v>1.4172335600907029</v>
      </c>
      <c r="AB33" s="153">
        <f t="shared" si="15"/>
        <v>4.7616048182941621E-2</v>
      </c>
      <c r="AC33" s="153"/>
      <c r="AD33" s="153">
        <f t="shared" si="16"/>
        <v>1.1072834645669289</v>
      </c>
      <c r="AE33" s="317">
        <f t="shared" si="17"/>
        <v>337.16148148148159</v>
      </c>
      <c r="AF33" s="463">
        <f t="shared" si="18"/>
        <v>2.9066190944881887E-2</v>
      </c>
      <c r="AH33" s="153">
        <f t="shared" si="19"/>
        <v>0.19595917942265426</v>
      </c>
      <c r="AI33" s="153">
        <f t="shared" si="20"/>
        <v>0.19595917942265426</v>
      </c>
      <c r="AJ33" s="153">
        <f t="shared" si="21"/>
        <v>1.1926637037037038</v>
      </c>
      <c r="AL33" s="317">
        <f t="shared" si="22"/>
        <v>28.000000000000004</v>
      </c>
      <c r="AM33" s="147">
        <f t="shared" si="23"/>
        <v>337.16148148148159</v>
      </c>
      <c r="AO33">
        <f t="shared" si="53"/>
        <v>28.000000000000004</v>
      </c>
      <c r="AP33" s="147">
        <f t="shared" si="24"/>
        <v>337.16148148148159</v>
      </c>
      <c r="AQ33" s="147"/>
      <c r="AR33" s="5">
        <f t="shared" si="54"/>
        <v>2.9659378515185595</v>
      </c>
      <c r="AS33" s="5">
        <f t="shared" si="25"/>
        <v>1.4696938456699069</v>
      </c>
      <c r="AT33" s="5">
        <f t="shared" si="55"/>
        <v>1.4962440058486526</v>
      </c>
      <c r="AU33" s="153">
        <f t="shared" si="56"/>
        <v>0.49552415433028174</v>
      </c>
      <c r="AW33" s="5">
        <f t="shared" si="26"/>
        <v>1.7236920000000002</v>
      </c>
      <c r="AX33" s="5">
        <f t="shared" si="27"/>
        <v>1.4353745280000003</v>
      </c>
      <c r="AY33" s="5">
        <f t="shared" si="28"/>
        <v>1.7372910952321905</v>
      </c>
      <c r="AZ33" s="5">
        <f t="shared" si="29"/>
        <v>1.0465717953905727</v>
      </c>
      <c r="BA33" s="5">
        <f t="shared" si="30"/>
        <v>8.3789664327524535E-2</v>
      </c>
      <c r="BB33" s="147">
        <f t="shared" si="31"/>
        <v>8.5469664327524555</v>
      </c>
      <c r="BC33" s="5"/>
      <c r="BD33" s="153">
        <f t="shared" si="57"/>
        <v>7.9641127411831672E-2</v>
      </c>
      <c r="BE33" s="153">
        <f t="shared" si="32"/>
        <v>8.0357269892477018E-2</v>
      </c>
      <c r="BF33" s="153">
        <f t="shared" si="33"/>
        <v>8.0042143343879074E-2</v>
      </c>
      <c r="BG33" s="153"/>
      <c r="BH33" s="463">
        <f t="shared" si="34"/>
        <v>2.2199482113996619E-3</v>
      </c>
      <c r="BI33" s="463">
        <f t="shared" si="35"/>
        <v>1.3319689268397973E-2</v>
      </c>
      <c r="BJ33" s="463">
        <f t="shared" si="36"/>
        <v>4.2145185185185194E-3</v>
      </c>
      <c r="BK33" s="463">
        <f t="shared" si="37"/>
        <v>2.7406211481600017E-2</v>
      </c>
      <c r="BL33">
        <f t="shared" si="38"/>
        <v>5.7999999999999996E-3</v>
      </c>
      <c r="BM33">
        <f t="shared" si="39"/>
        <v>1.264355555555556E-5</v>
      </c>
      <c r="BN33">
        <f t="shared" si="40"/>
        <v>5.3294532442324648E-2</v>
      </c>
      <c r="BO33" s="147">
        <f t="shared" si="58"/>
        <v>53.294532442324645</v>
      </c>
      <c r="BP33" s="153">
        <f t="shared" si="41"/>
        <v>1.5629370189973308E-2</v>
      </c>
      <c r="BQ33" s="153">
        <f t="shared" si="42"/>
        <v>1.5590752959266716E-2</v>
      </c>
      <c r="BR33" s="463"/>
      <c r="BT33" s="147">
        <f t="shared" si="59"/>
        <v>31.220123149240024</v>
      </c>
      <c r="BU33" s="463">
        <f t="shared" si="43"/>
        <v>5.0741673403420853E-3</v>
      </c>
      <c r="BV33" s="463">
        <f t="shared" si="60"/>
        <v>5.140003496359625E-3</v>
      </c>
      <c r="BW33" s="463">
        <f t="shared" si="44"/>
        <v>3.2033723555410429E-4</v>
      </c>
      <c r="BX33" s="463">
        <f t="shared" si="45"/>
        <v>0</v>
      </c>
      <c r="BY33" s="463">
        <f t="shared" si="46"/>
        <v>1.1808600865017279E-2</v>
      </c>
      <c r="BZ33" s="463">
        <f t="shared" si="61"/>
        <v>1.0534508072255814E-2</v>
      </c>
      <c r="CA33" s="549">
        <f t="shared" si="47"/>
        <v>1.942050133333334E-2</v>
      </c>
      <c r="CB33" s="147">
        <f t="shared" si="62"/>
        <v>31.229102198350621</v>
      </c>
      <c r="CC33" s="153">
        <f t="shared" si="63"/>
        <v>0.1157437577899153</v>
      </c>
      <c r="CD33" s="5">
        <f t="shared" si="64"/>
        <v>1.008</v>
      </c>
      <c r="CE33" s="153">
        <f t="shared" si="65"/>
        <v>0.89700164562644558</v>
      </c>
      <c r="CF33" s="5">
        <f t="shared" si="66"/>
        <v>89.700164562644559</v>
      </c>
      <c r="CG33">
        <f t="shared" si="67"/>
        <v>28.000000000000004</v>
      </c>
      <c r="CI33" s="59">
        <f t="shared" si="48"/>
        <v>-50</v>
      </c>
      <c r="CJ33">
        <f t="shared" si="49"/>
        <v>-50</v>
      </c>
    </row>
    <row r="34" spans="5:88" x14ac:dyDescent="0.25">
      <c r="E34" s="150">
        <v>29</v>
      </c>
      <c r="F34" s="191">
        <f t="shared" si="68"/>
        <v>2.8999999999999998E-2</v>
      </c>
      <c r="G34" s="191">
        <f t="shared" si="50"/>
        <v>2.8999999999999998E-2</v>
      </c>
      <c r="H34" s="191">
        <f t="shared" si="0"/>
        <v>0.57999999999999996</v>
      </c>
      <c r="I34" s="191">
        <f t="shared" si="69"/>
        <v>0.46399999999999997</v>
      </c>
      <c r="J34" s="472">
        <f t="shared" si="1"/>
        <v>20</v>
      </c>
      <c r="K34" s="386">
        <f t="shared" si="2"/>
        <v>20.32</v>
      </c>
      <c r="L34" s="386">
        <f t="shared" si="3"/>
        <v>40.32</v>
      </c>
      <c r="M34" s="386"/>
      <c r="N34" s="191">
        <f t="shared" si="4"/>
        <v>0.50396825396825395</v>
      </c>
      <c r="O34" s="152">
        <f t="shared" si="51"/>
        <v>1.8898809523809523</v>
      </c>
      <c r="P34" s="152">
        <f t="shared" si="5"/>
        <v>2.7214285714285715</v>
      </c>
      <c r="Q34" s="191">
        <f t="shared" si="6"/>
        <v>9.4494047619047616E-2</v>
      </c>
      <c r="R34" s="191">
        <f t="shared" si="7"/>
        <v>0.11811755952380952</v>
      </c>
      <c r="S34" s="386">
        <f t="shared" si="8"/>
        <v>20</v>
      </c>
      <c r="T34" s="191">
        <f t="shared" si="9"/>
        <v>0.2301732283464567</v>
      </c>
      <c r="U34" s="191">
        <f t="shared" si="10"/>
        <v>1.7262992125984249</v>
      </c>
      <c r="V34" s="191">
        <f t="shared" si="11"/>
        <v>1.6991133982267963</v>
      </c>
      <c r="W34" s="175">
        <f t="shared" si="12"/>
        <v>350</v>
      </c>
      <c r="X34" s="386">
        <f t="shared" si="52"/>
        <v>291.93563334231101</v>
      </c>
      <c r="Z34" s="191">
        <f t="shared" si="13"/>
        <v>0.19198790627362058</v>
      </c>
      <c r="AA34" s="153">
        <f t="shared" si="14"/>
        <v>1.4172335600907029</v>
      </c>
      <c r="AB34" s="153">
        <f t="shared" si="15"/>
        <v>4.7616048182941621E-2</v>
      </c>
      <c r="AC34" s="153"/>
      <c r="AD34" s="153">
        <f t="shared" si="16"/>
        <v>1.1072834645669289</v>
      </c>
      <c r="AE34" s="317">
        <f t="shared" si="17"/>
        <v>349.202962962963</v>
      </c>
      <c r="AF34" s="463">
        <f t="shared" si="18"/>
        <v>2.9066190944881887E-2</v>
      </c>
      <c r="AH34" s="153">
        <f t="shared" si="19"/>
        <v>0.199427752761316</v>
      </c>
      <c r="AI34" s="153">
        <f t="shared" si="20"/>
        <v>0.199427752761316</v>
      </c>
      <c r="AJ34" s="153">
        <f t="shared" si="21"/>
        <v>1.1995445502645503</v>
      </c>
      <c r="AL34" s="317">
        <f t="shared" si="22"/>
        <v>28.999999999999996</v>
      </c>
      <c r="AM34" s="147">
        <f t="shared" si="23"/>
        <v>349.202962962963</v>
      </c>
      <c r="AO34">
        <f t="shared" si="53"/>
        <v>28.999999999999996</v>
      </c>
      <c r="AP34" s="147">
        <f t="shared" si="24"/>
        <v>349.202962962963</v>
      </c>
      <c r="AQ34" s="147"/>
      <c r="AR34" s="5">
        <f t="shared" si="54"/>
        <v>2.8636641325006784</v>
      </c>
      <c r="AS34" s="5">
        <f t="shared" si="25"/>
        <v>1.4957081457098698</v>
      </c>
      <c r="AT34" s="5">
        <f t="shared" si="55"/>
        <v>1.3679559867908087</v>
      </c>
      <c r="AU34" s="153">
        <f t="shared" si="56"/>
        <v>0.52230571620972577</v>
      </c>
      <c r="AW34" s="5">
        <f t="shared" si="26"/>
        <v>1.7236920000000002</v>
      </c>
      <c r="AX34" s="5">
        <f t="shared" si="27"/>
        <v>1.5366249719999996</v>
      </c>
      <c r="AY34" s="5">
        <f t="shared" si="28"/>
        <v>1.7372910952321905</v>
      </c>
      <c r="AZ34" s="5">
        <f t="shared" si="29"/>
        <v>1.1205904080656524</v>
      </c>
      <c r="BA34" s="5">
        <f t="shared" si="30"/>
        <v>7.9341447233866894E-2</v>
      </c>
      <c r="BB34" s="147">
        <f t="shared" si="31"/>
        <v>8.1081447233866921</v>
      </c>
      <c r="BC34" s="5"/>
      <c r="BD34" s="153">
        <f t="shared" si="57"/>
        <v>8.3212267694701428E-2</v>
      </c>
      <c r="BE34" s="153">
        <f t="shared" si="32"/>
        <v>7.9579277216171099E-2</v>
      </c>
      <c r="BF34" s="153">
        <f t="shared" si="33"/>
        <v>7.9267201619244942E-2</v>
      </c>
      <c r="BG34" s="153"/>
      <c r="BH34" s="463">
        <f t="shared" si="34"/>
        <v>2.4234985232131274E-3</v>
      </c>
      <c r="BI34" s="463">
        <f t="shared" si="35"/>
        <v>1.4039577651717431E-2</v>
      </c>
      <c r="BJ34" s="463">
        <f t="shared" si="36"/>
        <v>4.3650370370370371E-3</v>
      </c>
      <c r="BK34" s="463">
        <f t="shared" si="37"/>
        <v>2.8385004748800007E-2</v>
      </c>
      <c r="BL34">
        <f t="shared" si="38"/>
        <v>5.7999999999999996E-3</v>
      </c>
      <c r="BM34">
        <f t="shared" si="39"/>
        <v>1.3095111111111112E-5</v>
      </c>
      <c r="BN34">
        <f t="shared" si="40"/>
        <v>5.5378146906674482E-2</v>
      </c>
      <c r="BO34" s="147">
        <f t="shared" si="58"/>
        <v>55.37814690667448</v>
      </c>
      <c r="BP34" s="153">
        <f t="shared" si="41"/>
        <v>1.5916306080757628E-2</v>
      </c>
      <c r="BQ34" s="153">
        <f t="shared" si="42"/>
        <v>1.5878432988945167E-2</v>
      </c>
      <c r="BR34" s="463"/>
      <c r="BT34" s="147">
        <f t="shared" si="59"/>
        <v>31.794739069702796</v>
      </c>
      <c r="BU34" s="463">
        <f t="shared" si="43"/>
        <v>5.5394251959157209E-3</v>
      </c>
      <c r="BV34" s="463">
        <f t="shared" si="60"/>
        <v>5.0409576443495741E-3</v>
      </c>
      <c r="BW34" s="463">
        <f t="shared" si="44"/>
        <v>3.1416446262730145E-4</v>
      </c>
      <c r="BX34" s="463">
        <f t="shared" si="45"/>
        <v>0</v>
      </c>
      <c r="BY34" s="463">
        <f t="shared" si="46"/>
        <v>1.2212536984188714E-2</v>
      </c>
      <c r="BZ34" s="463">
        <f t="shared" si="61"/>
        <v>1.0894547302892596E-2</v>
      </c>
      <c r="CA34" s="549">
        <f t="shared" si="47"/>
        <v>2.0832451047619053E-2</v>
      </c>
      <c r="CB34" s="147">
        <f t="shared" si="62"/>
        <v>33.044988031807769</v>
      </c>
      <c r="CC34" s="153">
        <f t="shared" si="63"/>
        <v>0.12021787400818505</v>
      </c>
      <c r="CD34" s="5">
        <f t="shared" si="64"/>
        <v>1.044</v>
      </c>
      <c r="CE34" s="153">
        <f t="shared" si="65"/>
        <v>0.89673936752551542</v>
      </c>
      <c r="CF34" s="5">
        <f t="shared" si="66"/>
        <v>89.673936752551541</v>
      </c>
      <c r="CG34">
        <f t="shared" si="67"/>
        <v>28.999999999999996</v>
      </c>
      <c r="CI34" s="59">
        <f t="shared" si="48"/>
        <v>-50</v>
      </c>
      <c r="CJ34">
        <f t="shared" si="49"/>
        <v>-50</v>
      </c>
    </row>
    <row r="35" spans="5:88" x14ac:dyDescent="0.25">
      <c r="E35" s="150">
        <v>30</v>
      </c>
      <c r="F35" s="191">
        <f t="shared" si="68"/>
        <v>0.03</v>
      </c>
      <c r="G35" s="191">
        <f t="shared" si="50"/>
        <v>0.03</v>
      </c>
      <c r="H35" s="191">
        <f t="shared" si="0"/>
        <v>0.6</v>
      </c>
      <c r="I35" s="191">
        <f t="shared" si="69"/>
        <v>0.48</v>
      </c>
      <c r="J35" s="472">
        <f t="shared" si="1"/>
        <v>20</v>
      </c>
      <c r="K35" s="386">
        <f t="shared" si="2"/>
        <v>20.32</v>
      </c>
      <c r="L35" s="386">
        <f t="shared" si="3"/>
        <v>40.32</v>
      </c>
      <c r="M35" s="386"/>
      <c r="N35" s="191">
        <f t="shared" si="4"/>
        <v>0.50396825396825395</v>
      </c>
      <c r="O35" s="152">
        <f t="shared" si="51"/>
        <v>1.8898809523809523</v>
      </c>
      <c r="P35" s="152">
        <f t="shared" si="5"/>
        <v>2.7214285714285715</v>
      </c>
      <c r="Q35" s="191">
        <f t="shared" si="6"/>
        <v>9.4494047619047616E-2</v>
      </c>
      <c r="R35" s="191">
        <f t="shared" si="7"/>
        <v>0.11811755952380952</v>
      </c>
      <c r="S35" s="386">
        <f t="shared" si="8"/>
        <v>20</v>
      </c>
      <c r="T35" s="191">
        <f t="shared" si="9"/>
        <v>0.23811023622047248</v>
      </c>
      <c r="U35" s="191">
        <f t="shared" si="10"/>
        <v>1.7858267716535434</v>
      </c>
      <c r="V35" s="191">
        <f t="shared" si="11"/>
        <v>1.7577035154070308</v>
      </c>
      <c r="W35" s="175">
        <f t="shared" si="12"/>
        <v>350</v>
      </c>
      <c r="X35" s="386">
        <f t="shared" si="52"/>
        <v>282.20444556423394</v>
      </c>
      <c r="Z35" s="191">
        <f t="shared" si="13"/>
        <v>0.19198790627362058</v>
      </c>
      <c r="AA35" s="153">
        <f t="shared" si="14"/>
        <v>1.4172335600907029</v>
      </c>
      <c r="AB35" s="153">
        <f t="shared" si="15"/>
        <v>4.7616048182941621E-2</v>
      </c>
      <c r="AC35" s="153"/>
      <c r="AD35" s="153">
        <f t="shared" si="16"/>
        <v>1.1072834645669289</v>
      </c>
      <c r="AE35" s="317">
        <f t="shared" si="17"/>
        <v>361.24444444444441</v>
      </c>
      <c r="AF35" s="463">
        <f t="shared" si="18"/>
        <v>2.9066190944881887E-2</v>
      </c>
      <c r="AH35" s="153">
        <f t="shared" si="19"/>
        <v>0.202837021134844</v>
      </c>
      <c r="AI35" s="153">
        <f t="shared" si="20"/>
        <v>0.202837021134844</v>
      </c>
      <c r="AJ35" s="153">
        <f t="shared" si="21"/>
        <v>1.2391385341739585</v>
      </c>
      <c r="AL35" s="317">
        <f t="shared" si="22"/>
        <v>30</v>
      </c>
      <c r="AM35" s="147">
        <f t="shared" si="23"/>
        <v>282.20444556423394</v>
      </c>
      <c r="AO35">
        <f t="shared" si="53"/>
        <v>30</v>
      </c>
      <c r="AP35" s="147">
        <f t="shared" si="24"/>
        <v>282.20444556423394</v>
      </c>
      <c r="AQ35" s="147"/>
      <c r="AR35" s="5">
        <f t="shared" si="54"/>
        <v>3.543530287060574</v>
      </c>
      <c r="AS35" s="5">
        <f t="shared" si="25"/>
        <v>1.5212776585113299</v>
      </c>
      <c r="AT35" s="5">
        <f t="shared" si="55"/>
        <v>2.0222526285492441</v>
      </c>
      <c r="AU35" s="153">
        <f t="shared" si="56"/>
        <v>0.42931131816944584</v>
      </c>
      <c r="AW35" s="5">
        <f t="shared" si="26"/>
        <v>1.7236920000000002</v>
      </c>
      <c r="AX35" s="5">
        <f t="shared" si="27"/>
        <v>1.6413227999999995</v>
      </c>
      <c r="AY35" s="5">
        <f t="shared" si="28"/>
        <v>1.7372910952321905</v>
      </c>
      <c r="AZ35" s="5">
        <f t="shared" si="29"/>
        <v>1.1971359896065243</v>
      </c>
      <c r="BA35" s="5">
        <f t="shared" si="30"/>
        <v>0.12133515771295464</v>
      </c>
      <c r="BB35" s="147">
        <f t="shared" si="31"/>
        <v>12.313515771295465</v>
      </c>
      <c r="BC35" s="5"/>
      <c r="BD35" s="153">
        <f t="shared" si="57"/>
        <v>7.6731336999640506E-2</v>
      </c>
      <c r="BE35" s="153">
        <f t="shared" si="32"/>
        <v>8.8468003461891889E-2</v>
      </c>
      <c r="BF35" s="153">
        <f t="shared" si="33"/>
        <v>8.8121070114982519E-2</v>
      </c>
      <c r="BG35" s="153"/>
      <c r="BH35" s="463">
        <f t="shared" si="34"/>
        <v>2.0606943272133398E-3</v>
      </c>
      <c r="BI35" s="463">
        <f t="shared" si="35"/>
        <v>1.1539888232394706E-2</v>
      </c>
      <c r="BJ35" s="463">
        <f t="shared" si="36"/>
        <v>3.5275555695529238E-3</v>
      </c>
      <c r="BK35" s="463">
        <f t="shared" si="37"/>
        <v>2.2939022222222227E-2</v>
      </c>
      <c r="BL35">
        <f t="shared" si="38"/>
        <v>5.7999999999999996E-3</v>
      </c>
      <c r="BM35">
        <f t="shared" si="39"/>
        <v>1.0582666708658772E-5</v>
      </c>
      <c r="BN35">
        <f t="shared" si="40"/>
        <v>4.6173491826284017E-2</v>
      </c>
      <c r="BO35" s="147">
        <f t="shared" si="58"/>
        <v>46.173491826284014</v>
      </c>
      <c r="BP35" s="153">
        <f t="shared" si="41"/>
        <v>1.743951295431145E-2</v>
      </c>
      <c r="BQ35" s="153">
        <f t="shared" si="42"/>
        <v>1.7392706770632184E-2</v>
      </c>
      <c r="BR35" s="463"/>
      <c r="BT35" s="147">
        <f t="shared" si="59"/>
        <v>34.832219724943627</v>
      </c>
      <c r="BU35" s="463">
        <f t="shared" si="43"/>
        <v>4.7101584622019207E-3</v>
      </c>
      <c r="BV35" s="463">
        <f t="shared" si="60"/>
        <v>6.2299637586805193E-3</v>
      </c>
      <c r="BW35" s="463">
        <f t="shared" si="44"/>
        <v>3.8826614991048329E-4</v>
      </c>
      <c r="BX35" s="463">
        <f t="shared" si="45"/>
        <v>0</v>
      </c>
      <c r="BY35" s="463">
        <f t="shared" si="46"/>
        <v>1.2699303987096443E-2</v>
      </c>
      <c r="BZ35" s="463">
        <f t="shared" si="61"/>
        <v>1.1328388370792924E-2</v>
      </c>
      <c r="CA35" s="549">
        <f t="shared" si="47"/>
        <v>1.7416045783392731E-2</v>
      </c>
      <c r="CB35" s="147">
        <f t="shared" si="62"/>
        <v>30.115349770489171</v>
      </c>
      <c r="CC35" s="153">
        <f t="shared" si="63"/>
        <v>0.11112106132171683</v>
      </c>
      <c r="CD35" s="5">
        <f t="shared" si="64"/>
        <v>1.08</v>
      </c>
      <c r="CE35" s="153">
        <f t="shared" si="65"/>
        <v>0.90670884351720527</v>
      </c>
      <c r="CF35" s="5">
        <f t="shared" si="66"/>
        <v>90.670884351720531</v>
      </c>
      <c r="CG35">
        <f t="shared" si="67"/>
        <v>30</v>
      </c>
      <c r="CI35" s="59">
        <f t="shared" si="48"/>
        <v>-50</v>
      </c>
      <c r="CJ35">
        <f t="shared" si="49"/>
        <v>-50</v>
      </c>
    </row>
    <row r="36" spans="5:88" x14ac:dyDescent="0.25">
      <c r="E36" s="150">
        <v>31</v>
      </c>
      <c r="F36" s="191">
        <f t="shared" si="68"/>
        <v>3.1E-2</v>
      </c>
      <c r="G36" s="191">
        <f t="shared" si="50"/>
        <v>3.1E-2</v>
      </c>
      <c r="H36" s="191">
        <f t="shared" si="0"/>
        <v>0.62</v>
      </c>
      <c r="I36" s="191">
        <f t="shared" si="69"/>
        <v>0.496</v>
      </c>
      <c r="J36" s="472">
        <f t="shared" si="1"/>
        <v>20</v>
      </c>
      <c r="K36" s="386">
        <f t="shared" si="2"/>
        <v>20.32</v>
      </c>
      <c r="L36" s="386">
        <f t="shared" si="3"/>
        <v>40.32</v>
      </c>
      <c r="M36" s="386"/>
      <c r="N36" s="191">
        <f t="shared" si="4"/>
        <v>0.50396825396825395</v>
      </c>
      <c r="O36" s="152">
        <f t="shared" si="51"/>
        <v>1.8898809523809523</v>
      </c>
      <c r="P36" s="152">
        <f t="shared" si="5"/>
        <v>2.7214285714285715</v>
      </c>
      <c r="Q36" s="191">
        <f t="shared" si="6"/>
        <v>9.4494047619047616E-2</v>
      </c>
      <c r="R36" s="191">
        <f t="shared" si="7"/>
        <v>0.11811755952380952</v>
      </c>
      <c r="S36" s="386">
        <f t="shared" si="8"/>
        <v>20</v>
      </c>
      <c r="T36" s="191">
        <f t="shared" si="9"/>
        <v>0.24604724409448822</v>
      </c>
      <c r="U36" s="191">
        <f t="shared" si="10"/>
        <v>1.8453543307086615</v>
      </c>
      <c r="V36" s="191">
        <f t="shared" si="11"/>
        <v>1.8162936325872652</v>
      </c>
      <c r="W36" s="175">
        <f t="shared" si="12"/>
        <v>350</v>
      </c>
      <c r="X36" s="386">
        <f t="shared" si="52"/>
        <v>273.10107635248443</v>
      </c>
      <c r="Z36" s="191">
        <f t="shared" si="13"/>
        <v>0.19198790627362058</v>
      </c>
      <c r="AA36" s="153">
        <f t="shared" si="14"/>
        <v>1.4172335600907029</v>
      </c>
      <c r="AB36" s="153">
        <f t="shared" si="15"/>
        <v>4.7616048182941621E-2</v>
      </c>
      <c r="AC36" s="153"/>
      <c r="AD36" s="153">
        <f t="shared" si="16"/>
        <v>1.1072834645669289</v>
      </c>
      <c r="AE36" s="317">
        <f t="shared" si="17"/>
        <v>373.28592592592594</v>
      </c>
      <c r="AF36" s="463">
        <f t="shared" si="18"/>
        <v>2.9066190944881887E-2</v>
      </c>
      <c r="AH36" s="153">
        <f t="shared" si="19"/>
        <v>0.20618992631621391</v>
      </c>
      <c r="AI36" s="153">
        <f t="shared" si="20"/>
        <v>0.20618992631621391</v>
      </c>
      <c r="AJ36" s="153">
        <f t="shared" si="21"/>
        <v>1.2416221676416399</v>
      </c>
      <c r="AL36" s="317">
        <f t="shared" si="22"/>
        <v>31</v>
      </c>
      <c r="AM36" s="147">
        <f t="shared" si="23"/>
        <v>273.10107635248443</v>
      </c>
      <c r="AO36">
        <f t="shared" si="53"/>
        <v>31</v>
      </c>
      <c r="AP36" s="147">
        <f t="shared" si="24"/>
        <v>273.10107635248443</v>
      </c>
      <c r="AQ36" s="147"/>
      <c r="AR36" s="5">
        <f t="shared" si="54"/>
        <v>3.6616479632959265</v>
      </c>
      <c r="AS36" s="5">
        <f t="shared" si="25"/>
        <v>1.5464244473716042</v>
      </c>
      <c r="AT36" s="5">
        <f t="shared" si="55"/>
        <v>2.1152235159243222</v>
      </c>
      <c r="AU36" s="153">
        <f t="shared" si="56"/>
        <v>0.42233018107498105</v>
      </c>
      <c r="AW36" s="5">
        <f t="shared" si="26"/>
        <v>1.7236920000000002</v>
      </c>
      <c r="AX36" s="5">
        <f t="shared" si="27"/>
        <v>1.7494680119999997</v>
      </c>
      <c r="AY36" s="5">
        <f t="shared" si="28"/>
        <v>1.7372910952321905</v>
      </c>
      <c r="AZ36" s="5">
        <f t="shared" si="29"/>
        <v>1.2762085400131888</v>
      </c>
      <c r="BA36" s="5">
        <f t="shared" si="30"/>
        <v>0.13114385798730799</v>
      </c>
      <c r="BB36" s="147">
        <f t="shared" si="31"/>
        <v>13.300385798730799</v>
      </c>
      <c r="BC36" s="5"/>
      <c r="BD36" s="153">
        <f t="shared" si="57"/>
        <v>7.7362923901973801E-2</v>
      </c>
      <c r="BE36" s="153">
        <f t="shared" si="32"/>
        <v>9.0478763125752232E-2</v>
      </c>
      <c r="BF36" s="153">
        <f t="shared" si="33"/>
        <v>9.0123944446827711E-2</v>
      </c>
      <c r="BG36" s="153"/>
      <c r="BH36" s="463">
        <f t="shared" si="34"/>
        <v>2.0947576981319061E-3</v>
      </c>
      <c r="BI36" s="463">
        <f t="shared" si="35"/>
        <v>1.135223526729549E-2</v>
      </c>
      <c r="BJ36" s="463">
        <f t="shared" si="36"/>
        <v>3.4137634544060555E-3</v>
      </c>
      <c r="BK36" s="463">
        <f t="shared" si="37"/>
        <v>2.2199053763440862E-2</v>
      </c>
      <c r="BL36">
        <f t="shared" si="38"/>
        <v>5.7999999999999996E-3</v>
      </c>
      <c r="BM36">
        <f t="shared" si="39"/>
        <v>1.0241290363218166E-5</v>
      </c>
      <c r="BN36">
        <f t="shared" si="40"/>
        <v>4.5170301307199331E-2</v>
      </c>
      <c r="BO36" s="147">
        <f t="shared" si="58"/>
        <v>45.170301307199331</v>
      </c>
      <c r="BP36" s="153">
        <f t="shared" si="41"/>
        <v>1.8096414624649212E-2</v>
      </c>
      <c r="BQ36" s="153">
        <f t="shared" si="42"/>
        <v>1.8047456577068337E-2</v>
      </c>
      <c r="BR36" s="463"/>
      <c r="BT36" s="147">
        <f t="shared" si="59"/>
        <v>36.143871201717552</v>
      </c>
      <c r="BU36" s="463">
        <f t="shared" si="43"/>
        <v>4.7880175957300715E-3</v>
      </c>
      <c r="BV36" s="463">
        <f t="shared" si="60"/>
        <v>6.5163796351057224E-3</v>
      </c>
      <c r="BW36" s="463">
        <f t="shared" si="44"/>
        <v>4.0611626813274435E-4</v>
      </c>
      <c r="BX36" s="463">
        <f t="shared" si="45"/>
        <v>0</v>
      </c>
      <c r="BY36" s="463">
        <f t="shared" si="46"/>
        <v>1.3128074037903672E-2</v>
      </c>
      <c r="BZ36" s="463">
        <f t="shared" si="61"/>
        <v>1.1710513498968539E-2</v>
      </c>
      <c r="CA36" s="549">
        <f t="shared" si="47"/>
        <v>1.7416045783392724E-2</v>
      </c>
      <c r="CB36" s="147">
        <f t="shared" si="62"/>
        <v>30.544119821296395</v>
      </c>
      <c r="CC36" s="153">
        <f t="shared" si="63"/>
        <v>0.11185829233021327</v>
      </c>
      <c r="CD36" s="5">
        <f t="shared" si="64"/>
        <v>1.1160000000000001</v>
      </c>
      <c r="CE36" s="153">
        <f t="shared" si="65"/>
        <v>0.90889967268296901</v>
      </c>
      <c r="CF36" s="5">
        <f t="shared" si="66"/>
        <v>90.8899672682969</v>
      </c>
      <c r="CG36">
        <f t="shared" si="67"/>
        <v>31</v>
      </c>
      <c r="CI36" s="59">
        <f t="shared" si="48"/>
        <v>-50</v>
      </c>
      <c r="CJ36">
        <f t="shared" si="49"/>
        <v>-50</v>
      </c>
    </row>
    <row r="37" spans="5:88" x14ac:dyDescent="0.25">
      <c r="E37" s="150">
        <v>32</v>
      </c>
      <c r="F37" s="191">
        <f t="shared" si="68"/>
        <v>3.2000000000000001E-2</v>
      </c>
      <c r="G37" s="191">
        <f t="shared" si="50"/>
        <v>3.2000000000000001E-2</v>
      </c>
      <c r="H37" s="191">
        <f t="shared" ref="H37:H68" si="70">F37*Vout</f>
        <v>0.64</v>
      </c>
      <c r="I37" s="191">
        <f t="shared" si="69"/>
        <v>0.51200000000000001</v>
      </c>
      <c r="J37" s="472">
        <f t="shared" si="1"/>
        <v>20</v>
      </c>
      <c r="K37" s="386">
        <f t="shared" si="2"/>
        <v>20.32</v>
      </c>
      <c r="L37" s="386">
        <f t="shared" si="3"/>
        <v>40.32</v>
      </c>
      <c r="M37" s="386"/>
      <c r="N37" s="191">
        <f t="shared" si="4"/>
        <v>0.50396825396825395</v>
      </c>
      <c r="O37" s="152">
        <f t="shared" si="51"/>
        <v>1.8898809523809523</v>
      </c>
      <c r="P37" s="152">
        <f t="shared" ref="P37:P68" si="71">N37*J37*Isw_max*0.5*Efficiency*(Pout2/Pout_total)</f>
        <v>2.7214285714285715</v>
      </c>
      <c r="Q37" s="191">
        <f t="shared" si="6"/>
        <v>9.4494047619047616E-2</v>
      </c>
      <c r="R37" s="191">
        <f t="shared" ref="R37:R68" si="72">O37/Vout2</f>
        <v>0.11811755952380952</v>
      </c>
      <c r="S37" s="386">
        <f t="shared" ref="S37:S68" si="73">MIN(Vout,O37/F37)</f>
        <v>20</v>
      </c>
      <c r="T37" s="191">
        <f t="shared" ref="T37:T68" si="74">MIN(2*(Vout*F37+Vout2*G37)/(Efficiency*J37*N37), Isw_max)</f>
        <v>0.25398425196850399</v>
      </c>
      <c r="U37" s="191">
        <f t="shared" si="10"/>
        <v>1.9048818897637798</v>
      </c>
      <c r="V37" s="191">
        <f t="shared" si="11"/>
        <v>1.8748837497674997</v>
      </c>
      <c r="W37" s="175">
        <f t="shared" si="12"/>
        <v>350</v>
      </c>
      <c r="X37" s="386">
        <f t="shared" si="52"/>
        <v>264.56666771646923</v>
      </c>
      <c r="Z37" s="191">
        <f t="shared" si="13"/>
        <v>0.19198790627362058</v>
      </c>
      <c r="AA37" s="153">
        <f t="shared" si="14"/>
        <v>1.4172335600907029</v>
      </c>
      <c r="AB37" s="153">
        <f t="shared" ref="AB37:AB68" si="75">0.5*AA37*Z37*Nps*W37/1000*(Pout/Pout_total)</f>
        <v>4.7616048182941621E-2</v>
      </c>
      <c r="AC37" s="153"/>
      <c r="AD37" s="153">
        <f t="shared" si="16"/>
        <v>1.1072834645669289</v>
      </c>
      <c r="AE37" s="317">
        <f t="shared" ref="AE37:AE68" si="76">MAX(10, F37/(0.5*AD37/1000000*Isw_min*Nps)/1000*Pout_total/Pout)</f>
        <v>385.32740740740741</v>
      </c>
      <c r="AF37" s="463">
        <f t="shared" ref="AF37:AF68" si="77">0.5*AD37/1000000*Isw_min*Nps*W37*1000*(Pout/Pout_total)</f>
        <v>2.9066190944881887E-2</v>
      </c>
      <c r="AH37" s="153">
        <f t="shared" ref="AH37:AH68" si="78">SQRT((H37+I37)/(0.5*L*Fsw_DCM))</f>
        <v>0.20948917462655273</v>
      </c>
      <c r="AI37" s="153">
        <f t="shared" ref="AI37:AI68" si="79">MAX(IF(F37&gt;AB37,T37,AH37),Isw_min)</f>
        <v>0.20948917462655273</v>
      </c>
      <c r="AJ37" s="153">
        <f t="shared" ref="AJ37:AJ68" si="80">IF(F37&gt;AF37, (AI37-Isw_min)/1.08*0.8+1.2, AE37*0.2/350+1)</f>
        <v>1.244066055278928</v>
      </c>
      <c r="AL37" s="317">
        <f t="shared" ref="AL37:AL68" si="81">F37*1000</f>
        <v>32</v>
      </c>
      <c r="AM37" s="147">
        <f t="shared" ref="AM37:AM68" si="82">IF(F37&gt;AF37, X37, AE37)</f>
        <v>264.56666771646923</v>
      </c>
      <c r="AO37">
        <f t="shared" si="53"/>
        <v>32</v>
      </c>
      <c r="AP37" s="147">
        <f t="shared" si="24"/>
        <v>264.56666771646923</v>
      </c>
      <c r="AQ37" s="147"/>
      <c r="AR37" s="5">
        <f t="shared" si="54"/>
        <v>3.7797656395312798</v>
      </c>
      <c r="AS37" s="5">
        <f t="shared" si="25"/>
        <v>1.5711688096991454</v>
      </c>
      <c r="AT37" s="5">
        <f t="shared" si="55"/>
        <v>2.2085968298321346</v>
      </c>
      <c r="AU37" s="153">
        <f t="shared" si="56"/>
        <v>0.41567889640215433</v>
      </c>
      <c r="AW37" s="5">
        <f t="shared" ref="AW37:AW68" si="83">L*Iout^2/(2*Vripple1_spec*Vout*Npri_sec1^2)*1000000000*((1+N37)/(1-N37))^2</f>
        <v>1.7236920000000002</v>
      </c>
      <c r="AX37" s="5">
        <f t="shared" ref="AX37:AX68" si="84">L*F37^2/(2*Cout*Vout*Nps^2)*1000000000*((1+N37)/(1-N37))^2+F37*RCoutEsr</f>
        <v>1.8610606079999994</v>
      </c>
      <c r="AY37" s="5">
        <f t="shared" ref="AY37:AY68" si="85">L*Iout2^2/(2*Vripple2_spec*Vout2*Npri_sec2^2)*1000000000*((1+N37)/(1-N37))^2</f>
        <v>1.7372910952321905</v>
      </c>
      <c r="AZ37" s="5">
        <f t="shared" ref="AZ37:AZ68" si="86">L*G37^2/(2*Cout2*Vout2*Npri_sec2^2)*1000000000*((1+N37)/(1-N37))^2+G37*CoutEsr2</f>
        <v>1.3578080592856454</v>
      </c>
      <c r="BA37" s="5">
        <f t="shared" ref="BA37:BA68" si="87">(H37+I37)/Efficiency/J37*AT37/Vinripple1</f>
        <v>0.14135019710925661</v>
      </c>
      <c r="BB37" s="147">
        <f t="shared" ref="BB37:BB68" si="88">((CD37/J37/Efficiency)*AT37/Cin+(CD37/J37/Efficiency)*RCinEsr)*1000</f>
        <v>14.32701971092566</v>
      </c>
      <c r="BC37" s="5"/>
      <c r="BD37" s="153">
        <f t="shared" si="57"/>
        <v>7.7979410278410419E-2</v>
      </c>
      <c r="BE37" s="153">
        <f t="shared" ref="BE37:BE68" si="89">AI37*Npri_sec1*SQRT((1-AU37)/3)*(Pout/Pout_total)</f>
        <v>9.2454221110789617E-2</v>
      </c>
      <c r="BF37" s="153">
        <f t="shared" ref="BF37:BF68" si="90">AI37*Npri_sec2*SQRT((1-AU37)/3)*(Pout2/Pout_total)</f>
        <v>9.2091655537806141E-2</v>
      </c>
      <c r="BG37" s="153"/>
      <c r="BH37" s="463">
        <f t="shared" si="34"/>
        <v>2.1282759495790311E-3</v>
      </c>
      <c r="BI37" s="463">
        <f t="shared" si="35"/>
        <v>1.1173448735289906E-2</v>
      </c>
      <c r="BJ37" s="463">
        <f t="shared" si="36"/>
        <v>3.307083346455865E-3</v>
      </c>
      <c r="BK37" s="463">
        <f t="shared" si="37"/>
        <v>2.1505333333333331E-2</v>
      </c>
      <c r="BL37">
        <f t="shared" si="38"/>
        <v>5.7999999999999996E-3</v>
      </c>
      <c r="BM37">
        <f t="shared" ref="BM37:BM68" si="91">(J37-Vdd)*Qg*AM37</f>
        <v>9.9212500393675953E-6</v>
      </c>
      <c r="BN37">
        <f t="shared" ref="BN37:BN68" si="92">(BI37+BJ37+BK37+BL37+BM37+BH37*(1+RdsonTC*(Ta-25)))/(1-BH37*RdsonTC*ThetaJA)</f>
        <v>4.4228747033440763E-2</v>
      </c>
      <c r="BO37" s="147">
        <f t="shared" si="58"/>
        <v>44.228747033440762</v>
      </c>
      <c r="BP37" s="153">
        <f t="shared" ref="BP37:BP68" si="93">(Vfwd2*F37+BE37^2*Rdiode)*(1+Diode_TC/1000*(Ta-25))</f>
        <v>1.8754506212918923E-2</v>
      </c>
      <c r="BQ37" s="153">
        <f t="shared" ref="BQ37:BQ68" si="94">(Vfwd2*G37+BF37^2*Rdiode)*(1+Diode_TC/1000*(Ta-25))</f>
        <v>1.8703386987046169E-2</v>
      </c>
      <c r="BR37" s="463"/>
      <c r="BT37" s="147">
        <f t="shared" si="59"/>
        <v>37.457893199965092</v>
      </c>
      <c r="BU37" s="463">
        <f t="shared" si="43"/>
        <v>4.8646307418949292E-3</v>
      </c>
      <c r="BV37" s="463">
        <f t="shared" si="60"/>
        <v>6.804035268957411E-3</v>
      </c>
      <c r="BW37" s="463">
        <f t="shared" ref="BW37:BW68" si="95">Rdcr_sec2*BF37^2</f>
        <v>4.2404365098469706E-4</v>
      </c>
      <c r="BX37" s="463">
        <f t="shared" si="45"/>
        <v>0</v>
      </c>
      <c r="BY37" s="463">
        <f t="shared" ref="BY37:BY68" si="96">(BX37+(BU37+BV37+BW37)*(1+Ltc*(Ta-25)))/(1-(BU37+BV37+BW37)*Ltc*ThetaCa)</f>
        <v>1.3556950042118234E-2</v>
      </c>
      <c r="BZ37" s="463">
        <f t="shared" si="61"/>
        <v>1.2092709661837038E-2</v>
      </c>
      <c r="CA37" s="549">
        <f t="shared" ref="CA37:CA68" si="97">0.5*Lleak*0.000000001*AI37^2*AM37*1000</f>
        <v>1.7416045783392727E-2</v>
      </c>
      <c r="CB37" s="147">
        <f t="shared" si="62"/>
        <v>30.97299582551096</v>
      </c>
      <c r="CC37" s="153">
        <f t="shared" si="63"/>
        <v>0.11265963605891682</v>
      </c>
      <c r="CD37" s="5">
        <f t="shared" si="64"/>
        <v>1.1520000000000001</v>
      </c>
      <c r="CE37" s="153">
        <f t="shared" si="65"/>
        <v>0.91091703028492288</v>
      </c>
      <c r="CF37" s="5">
        <f t="shared" si="66"/>
        <v>91.09170302849229</v>
      </c>
      <c r="CG37">
        <f t="shared" si="67"/>
        <v>32</v>
      </c>
      <c r="CI37" s="59">
        <f t="shared" ref="CI37:CI68" si="98">IF(ABS(F37-Ioutmax_Vinnom)&lt;Iout/200, AM37, -50)</f>
        <v>-50</v>
      </c>
      <c r="CJ37">
        <f t="shared" ref="CJ37:CJ68" si="99">IF(ABS(F37-Ioutmax_Vinnom)&lt;Iout/200, (O37+P37)*CE37, -50)</f>
        <v>-50</v>
      </c>
    </row>
    <row r="38" spans="5:88" x14ac:dyDescent="0.25">
      <c r="E38" s="150">
        <v>33</v>
      </c>
      <c r="F38" s="191">
        <f t="shared" si="68"/>
        <v>3.3000000000000002E-2</v>
      </c>
      <c r="G38" s="191">
        <f t="shared" ref="G38:G69" si="100">IF(PLOT_TYPE=1, E38/100*Iout2, min_I*EXP(Q38*rr/100))</f>
        <v>3.3000000000000002E-2</v>
      </c>
      <c r="H38" s="191">
        <f t="shared" si="70"/>
        <v>0.66</v>
      </c>
      <c r="I38" s="191">
        <f t="shared" si="69"/>
        <v>0.52800000000000002</v>
      </c>
      <c r="J38" s="472">
        <f t="shared" si="1"/>
        <v>20</v>
      </c>
      <c r="K38" s="386">
        <f t="shared" si="2"/>
        <v>20.32</v>
      </c>
      <c r="L38" s="386">
        <f t="shared" si="3"/>
        <v>40.32</v>
      </c>
      <c r="M38" s="386"/>
      <c r="N38" s="191">
        <f t="shared" si="4"/>
        <v>0.50396825396825395</v>
      </c>
      <c r="O38" s="152">
        <f t="shared" ref="O38:O69" si="101">N38*J38*Isw_max*0.5*Efficiency*Pout/(Pout+Pout2)</f>
        <v>1.8898809523809523</v>
      </c>
      <c r="P38" s="152">
        <f t="shared" si="71"/>
        <v>2.7214285714285715</v>
      </c>
      <c r="Q38" s="191">
        <f t="shared" si="6"/>
        <v>9.4494047619047616E-2</v>
      </c>
      <c r="R38" s="191">
        <f t="shared" si="72"/>
        <v>0.11811755952380952</v>
      </c>
      <c r="S38" s="386">
        <f t="shared" si="73"/>
        <v>20</v>
      </c>
      <c r="T38" s="191">
        <f t="shared" si="74"/>
        <v>0.26192125984251974</v>
      </c>
      <c r="U38" s="191">
        <f t="shared" si="10"/>
        <v>1.9644094488188977</v>
      </c>
      <c r="V38" s="191">
        <f t="shared" si="11"/>
        <v>1.9334738669477343</v>
      </c>
      <c r="W38" s="175">
        <f t="shared" si="12"/>
        <v>350</v>
      </c>
      <c r="X38" s="386">
        <f t="shared" si="52"/>
        <v>256.54949596748537</v>
      </c>
      <c r="Z38" s="191">
        <f t="shared" si="13"/>
        <v>0.19198790627362058</v>
      </c>
      <c r="AA38" s="153">
        <f t="shared" si="14"/>
        <v>1.4172335600907029</v>
      </c>
      <c r="AB38" s="153">
        <f t="shared" si="75"/>
        <v>4.7616048182941621E-2</v>
      </c>
      <c r="AC38" s="153"/>
      <c r="AD38" s="153">
        <f t="shared" si="16"/>
        <v>1.1072834645669289</v>
      </c>
      <c r="AE38" s="317">
        <f t="shared" si="76"/>
        <v>397.36888888888893</v>
      </c>
      <c r="AF38" s="463">
        <f t="shared" si="77"/>
        <v>2.9066190944881887E-2</v>
      </c>
      <c r="AH38" s="153">
        <f t="shared" si="78"/>
        <v>0.21273726250270042</v>
      </c>
      <c r="AI38" s="153">
        <f t="shared" si="79"/>
        <v>0.21273726250270042</v>
      </c>
      <c r="AJ38" s="153">
        <f t="shared" si="80"/>
        <v>1.2464720462982966</v>
      </c>
      <c r="AL38" s="317">
        <f t="shared" si="81"/>
        <v>33</v>
      </c>
      <c r="AM38" s="147">
        <f t="shared" si="82"/>
        <v>256.54949596748537</v>
      </c>
      <c r="AO38">
        <f t="shared" si="53"/>
        <v>33</v>
      </c>
      <c r="AP38" s="147">
        <f t="shared" si="24"/>
        <v>256.54949596748537</v>
      </c>
      <c r="AQ38" s="147"/>
      <c r="AR38" s="5">
        <f t="shared" si="54"/>
        <v>3.8978833157666317</v>
      </c>
      <c r="AS38" s="5">
        <f t="shared" si="25"/>
        <v>1.595529468770253</v>
      </c>
      <c r="AT38" s="5">
        <f t="shared" si="55"/>
        <v>2.3023538469963789</v>
      </c>
      <c r="AU38" s="153">
        <f t="shared" si="56"/>
        <v>0.4093322810142781</v>
      </c>
      <c r="AW38" s="5">
        <f t="shared" si="83"/>
        <v>1.7236920000000002</v>
      </c>
      <c r="AX38" s="5">
        <f t="shared" si="84"/>
        <v>1.976100588</v>
      </c>
      <c r="AY38" s="5">
        <f t="shared" si="85"/>
        <v>1.7372910952321905</v>
      </c>
      <c r="AZ38" s="5">
        <f t="shared" si="86"/>
        <v>1.4419345474238949</v>
      </c>
      <c r="BA38" s="5">
        <f t="shared" si="87"/>
        <v>0.15195535390176101</v>
      </c>
      <c r="BB38" s="147">
        <f t="shared" si="88"/>
        <v>15.393535390176101</v>
      </c>
      <c r="BC38" s="5"/>
      <c r="BD38" s="153">
        <f t="shared" si="57"/>
        <v>7.8581612603083634E-2</v>
      </c>
      <c r="BE38" s="153">
        <f t="shared" si="89"/>
        <v>9.4396209915510787E-2</v>
      </c>
      <c r="BF38" s="153">
        <f t="shared" si="90"/>
        <v>9.4026028700155848E-2</v>
      </c>
      <c r="BG38" s="153"/>
      <c r="BH38" s="463">
        <f t="shared" si="34"/>
        <v>2.1612744437553891E-3</v>
      </c>
      <c r="BI38" s="463">
        <f t="shared" si="35"/>
        <v>1.1002851713663794E-2</v>
      </c>
      <c r="BJ38" s="463">
        <f t="shared" si="36"/>
        <v>3.206868699593567E-3</v>
      </c>
      <c r="BK38" s="463">
        <f t="shared" si="37"/>
        <v>2.0853656565656568E-2</v>
      </c>
      <c r="BL38">
        <f t="shared" si="38"/>
        <v>5.7999999999999996E-3</v>
      </c>
      <c r="BM38">
        <f t="shared" si="91"/>
        <v>9.6206060987807015E-6</v>
      </c>
      <c r="BN38">
        <f t="shared" si="92"/>
        <v>4.3343327453059466E-2</v>
      </c>
      <c r="BO38" s="147">
        <f t="shared" si="58"/>
        <v>43.343327453059466</v>
      </c>
      <c r="BP38" s="153">
        <f t="shared" si="93"/>
        <v>1.941373235705967E-2</v>
      </c>
      <c r="BQ38" s="153">
        <f t="shared" si="94"/>
        <v>1.9360443071865616E-2</v>
      </c>
      <c r="BR38" s="463"/>
      <c r="BT38" s="147">
        <f t="shared" si="59"/>
        <v>38.774175428925282</v>
      </c>
      <c r="BU38" s="463">
        <f t="shared" si="43"/>
        <v>4.9400558714408904E-3</v>
      </c>
      <c r="BV38" s="463">
        <f t="shared" si="60"/>
        <v>7.09287297934489E-3</v>
      </c>
      <c r="BW38" s="463">
        <f t="shared" si="95"/>
        <v>4.4204470365612658E-4</v>
      </c>
      <c r="BX38" s="463">
        <f t="shared" si="45"/>
        <v>0</v>
      </c>
      <c r="BY38" s="463">
        <f t="shared" si="96"/>
        <v>1.3985928307836905E-2</v>
      </c>
      <c r="BZ38" s="463">
        <f t="shared" si="61"/>
        <v>1.2474973554441908E-2</v>
      </c>
      <c r="CA38" s="549">
        <f t="shared" si="97"/>
        <v>1.7416045783392724E-2</v>
      </c>
      <c r="CB38" s="147">
        <f t="shared" si="62"/>
        <v>31.401974091229626</v>
      </c>
      <c r="CC38" s="153">
        <f t="shared" si="63"/>
        <v>0.11351947697321438</v>
      </c>
      <c r="CD38" s="5">
        <f t="shared" si="64"/>
        <v>1.1880000000000002</v>
      </c>
      <c r="CE38" s="153">
        <f t="shared" si="65"/>
        <v>0.91277927147336069</v>
      </c>
      <c r="CF38" s="5">
        <f t="shared" si="66"/>
        <v>91.277927147336072</v>
      </c>
      <c r="CG38">
        <f t="shared" ref="CG38:CG69" si="102">F38/Iout*100</f>
        <v>33</v>
      </c>
      <c r="CI38" s="59">
        <f t="shared" si="98"/>
        <v>-50</v>
      </c>
      <c r="CJ38">
        <f t="shared" si="99"/>
        <v>-50</v>
      </c>
    </row>
    <row r="39" spans="5:88" x14ac:dyDescent="0.25">
      <c r="E39" s="150">
        <v>34</v>
      </c>
      <c r="F39" s="191">
        <f t="shared" si="68"/>
        <v>3.4000000000000002E-2</v>
      </c>
      <c r="G39" s="191">
        <f t="shared" si="100"/>
        <v>3.4000000000000002E-2</v>
      </c>
      <c r="H39" s="191">
        <f t="shared" si="70"/>
        <v>0.68</v>
      </c>
      <c r="I39" s="191">
        <f t="shared" si="69"/>
        <v>0.54400000000000004</v>
      </c>
      <c r="J39" s="472">
        <f t="shared" si="1"/>
        <v>20</v>
      </c>
      <c r="K39" s="386">
        <f t="shared" si="2"/>
        <v>20.32</v>
      </c>
      <c r="L39" s="386">
        <f t="shared" si="3"/>
        <v>40.32</v>
      </c>
      <c r="M39" s="386"/>
      <c r="N39" s="191">
        <f t="shared" si="4"/>
        <v>0.50396825396825395</v>
      </c>
      <c r="O39" s="152">
        <f t="shared" si="101"/>
        <v>1.8898809523809523</v>
      </c>
      <c r="P39" s="152">
        <f t="shared" si="71"/>
        <v>2.7214285714285715</v>
      </c>
      <c r="Q39" s="191">
        <f t="shared" si="6"/>
        <v>9.4494047619047616E-2</v>
      </c>
      <c r="R39" s="191">
        <f t="shared" si="72"/>
        <v>0.11811755952380952</v>
      </c>
      <c r="S39" s="386">
        <f t="shared" si="73"/>
        <v>20</v>
      </c>
      <c r="T39" s="191">
        <f t="shared" si="74"/>
        <v>0.26985826771653548</v>
      </c>
      <c r="U39" s="191">
        <f t="shared" si="10"/>
        <v>2.0239370078740158</v>
      </c>
      <c r="V39" s="191">
        <f t="shared" si="11"/>
        <v>1.9920639841279681</v>
      </c>
      <c r="W39" s="175">
        <f t="shared" si="12"/>
        <v>350</v>
      </c>
      <c r="X39" s="386">
        <f t="shared" si="52"/>
        <v>249.003922556677</v>
      </c>
      <c r="Z39" s="191">
        <f t="shared" si="13"/>
        <v>0.19198790627362058</v>
      </c>
      <c r="AA39" s="153">
        <f t="shared" si="14"/>
        <v>1.4172335600907029</v>
      </c>
      <c r="AB39" s="153">
        <f t="shared" si="75"/>
        <v>4.7616048182941621E-2</v>
      </c>
      <c r="AC39" s="153"/>
      <c r="AD39" s="153">
        <f t="shared" si="16"/>
        <v>1.1072834645669289</v>
      </c>
      <c r="AE39" s="317">
        <f t="shared" si="76"/>
        <v>409.41037037037046</v>
      </c>
      <c r="AF39" s="463">
        <f t="shared" si="77"/>
        <v>2.9066190944881887E-2</v>
      </c>
      <c r="AH39" s="153">
        <f t="shared" si="78"/>
        <v>0.215936498602185</v>
      </c>
      <c r="AI39" s="153">
        <f t="shared" si="79"/>
        <v>0.215936498602185</v>
      </c>
      <c r="AJ39" s="153">
        <f t="shared" si="80"/>
        <v>1.2488418508164334</v>
      </c>
      <c r="AL39" s="317">
        <f t="shared" si="81"/>
        <v>34</v>
      </c>
      <c r="AM39" s="147">
        <f t="shared" si="82"/>
        <v>249.003922556677</v>
      </c>
      <c r="AO39">
        <f t="shared" si="53"/>
        <v>34</v>
      </c>
      <c r="AP39" s="147">
        <f t="shared" si="24"/>
        <v>249.003922556677</v>
      </c>
      <c r="AQ39" s="147"/>
      <c r="AR39" s="5">
        <f t="shared" si="54"/>
        <v>4.0160009920019837</v>
      </c>
      <c r="AS39" s="5">
        <f t="shared" si="25"/>
        <v>1.6195237395163875</v>
      </c>
      <c r="AT39" s="5">
        <f t="shared" si="55"/>
        <v>2.396477252485596</v>
      </c>
      <c r="AU39" s="153">
        <f t="shared" si="56"/>
        <v>0.40326776381323853</v>
      </c>
      <c r="AW39" s="5">
        <f t="shared" si="83"/>
        <v>1.7236920000000002</v>
      </c>
      <c r="AX39" s="5">
        <f t="shared" si="84"/>
        <v>2.0945879519999999</v>
      </c>
      <c r="AY39" s="5">
        <f t="shared" si="85"/>
        <v>1.7372910952321905</v>
      </c>
      <c r="AZ39" s="5">
        <f t="shared" si="86"/>
        <v>1.5285880044279363</v>
      </c>
      <c r="BA39" s="5">
        <f t="shared" si="87"/>
        <v>0.16296045316902052</v>
      </c>
      <c r="BB39" s="147">
        <f t="shared" si="88"/>
        <v>16.50004531690205</v>
      </c>
      <c r="BC39" s="5"/>
      <c r="BD39" s="153">
        <f t="shared" si="57"/>
        <v>7.9170280050462269E-2</v>
      </c>
      <c r="BE39" s="153">
        <f t="shared" si="89"/>
        <v>9.6306406326830227E-2</v>
      </c>
      <c r="BF39" s="153">
        <f t="shared" si="90"/>
        <v>9.5928734145156389E-2</v>
      </c>
      <c r="BG39" s="153"/>
      <c r="BH39" s="463">
        <f t="shared" si="34"/>
        <v>2.1937766351440183E-3</v>
      </c>
      <c r="BI39" s="463">
        <f t="shared" si="35"/>
        <v>1.0839837491299853E-2</v>
      </c>
      <c r="BJ39" s="463">
        <f t="shared" si="36"/>
        <v>3.1125490319584624E-3</v>
      </c>
      <c r="BK39" s="463">
        <f t="shared" si="37"/>
        <v>2.0240313725490199E-2</v>
      </c>
      <c r="BL39">
        <f t="shared" si="38"/>
        <v>5.7999999999999996E-3</v>
      </c>
      <c r="BM39">
        <f t="shared" si="91"/>
        <v>9.337647095875387E-6</v>
      </c>
      <c r="BN39">
        <f t="shared" si="92"/>
        <v>4.250918004341217E-2</v>
      </c>
      <c r="BO39" s="147">
        <f t="shared" si="58"/>
        <v>42.509180043412172</v>
      </c>
      <c r="BP39" s="153">
        <f t="shared" si="93"/>
        <v>2.0074041859285637E-2</v>
      </c>
      <c r="BQ39" s="153">
        <f t="shared" si="94"/>
        <v>2.0018574034504761E-2</v>
      </c>
      <c r="BR39" s="463"/>
      <c r="BT39" s="147">
        <f t="shared" si="59"/>
        <v>40.092615893790402</v>
      </c>
      <c r="BU39" s="463">
        <f t="shared" si="43"/>
        <v>5.0143465946148992E-3</v>
      </c>
      <c r="BV39" s="463">
        <f t="shared" si="60"/>
        <v>7.3828394240724659E-3</v>
      </c>
      <c r="BW39" s="463">
        <f t="shared" si="95"/>
        <v>4.6011610173460468E-4</v>
      </c>
      <c r="BX39" s="463">
        <f t="shared" si="45"/>
        <v>0</v>
      </c>
      <c r="BY39" s="463">
        <f t="shared" si="96"/>
        <v>1.4415005421254096E-2</v>
      </c>
      <c r="BZ39" s="463">
        <f t="shared" si="61"/>
        <v>1.285730212042197E-2</v>
      </c>
      <c r="CA39" s="549">
        <f t="shared" si="97"/>
        <v>1.7416045783392731E-2</v>
      </c>
      <c r="CB39" s="147">
        <f t="shared" si="62"/>
        <v>31.831051204646826</v>
      </c>
      <c r="CC39" s="153">
        <f t="shared" si="63"/>
        <v>0.11443284714184938</v>
      </c>
      <c r="CD39" s="5">
        <f t="shared" si="64"/>
        <v>1.2240000000000002</v>
      </c>
      <c r="CE39" s="153">
        <f t="shared" si="65"/>
        <v>0.91450236193305134</v>
      </c>
      <c r="CF39" s="5">
        <f t="shared" si="66"/>
        <v>91.45023619330513</v>
      </c>
      <c r="CG39">
        <f t="shared" si="102"/>
        <v>34</v>
      </c>
      <c r="CI39" s="59">
        <f t="shared" si="98"/>
        <v>-50</v>
      </c>
      <c r="CJ39">
        <f t="shared" si="99"/>
        <v>-50</v>
      </c>
    </row>
    <row r="40" spans="5:88" x14ac:dyDescent="0.25">
      <c r="E40" s="150">
        <v>35</v>
      </c>
      <c r="F40" s="191">
        <f t="shared" ref="F40:F71" si="103">IF(PLOT_TYPE=1, E40/100*Iout_max, min_I*EXP(O40*rr/100))</f>
        <v>3.4999999999999996E-2</v>
      </c>
      <c r="G40" s="191">
        <f t="shared" si="100"/>
        <v>3.4999999999999996E-2</v>
      </c>
      <c r="H40" s="191">
        <f t="shared" si="70"/>
        <v>0.7</v>
      </c>
      <c r="I40" s="191">
        <f t="shared" ref="I40:I71" si="104">Vout2*G40</f>
        <v>0.55999999999999994</v>
      </c>
      <c r="J40" s="472">
        <f t="shared" si="1"/>
        <v>20</v>
      </c>
      <c r="K40" s="386">
        <f t="shared" si="2"/>
        <v>20.32</v>
      </c>
      <c r="L40" s="386">
        <f t="shared" si="3"/>
        <v>40.32</v>
      </c>
      <c r="M40" s="386"/>
      <c r="N40" s="191">
        <f t="shared" si="4"/>
        <v>0.50396825396825395</v>
      </c>
      <c r="O40" s="152">
        <f t="shared" si="101"/>
        <v>1.8898809523809523</v>
      </c>
      <c r="P40" s="152">
        <f t="shared" si="71"/>
        <v>2.7214285714285715</v>
      </c>
      <c r="Q40" s="191">
        <f t="shared" si="6"/>
        <v>9.4494047619047616E-2</v>
      </c>
      <c r="R40" s="191">
        <f t="shared" si="72"/>
        <v>0.11811755952380952</v>
      </c>
      <c r="S40" s="386">
        <f t="shared" si="73"/>
        <v>20</v>
      </c>
      <c r="T40" s="191">
        <f t="shared" si="74"/>
        <v>0.27779527559055112</v>
      </c>
      <c r="U40" s="191">
        <f t="shared" si="10"/>
        <v>2.0834645669291332</v>
      </c>
      <c r="V40" s="191">
        <f t="shared" si="11"/>
        <v>2.0506541013082016</v>
      </c>
      <c r="W40" s="175">
        <f t="shared" si="12"/>
        <v>350</v>
      </c>
      <c r="X40" s="386">
        <f t="shared" si="52"/>
        <v>241.88952476934347</v>
      </c>
      <c r="Z40" s="191">
        <f t="shared" si="13"/>
        <v>0.19198790627362058</v>
      </c>
      <c r="AA40" s="153">
        <f t="shared" si="14"/>
        <v>1.4172335600907029</v>
      </c>
      <c r="AB40" s="153">
        <f t="shared" si="75"/>
        <v>4.7616048182941621E-2</v>
      </c>
      <c r="AC40" s="153"/>
      <c r="AD40" s="153">
        <f t="shared" si="16"/>
        <v>1.1072834645669289</v>
      </c>
      <c r="AE40" s="317">
        <f t="shared" si="76"/>
        <v>421.45185185185187</v>
      </c>
      <c r="AF40" s="463">
        <f t="shared" si="77"/>
        <v>2.9066190944881887E-2</v>
      </c>
      <c r="AH40" s="153">
        <f t="shared" si="78"/>
        <v>0.21908902300206645</v>
      </c>
      <c r="AI40" s="153">
        <f t="shared" si="79"/>
        <v>0.21908902300206645</v>
      </c>
      <c r="AJ40" s="153">
        <f t="shared" si="80"/>
        <v>1.2511770540756046</v>
      </c>
      <c r="AL40" s="317">
        <f t="shared" si="81"/>
        <v>34.999999999999993</v>
      </c>
      <c r="AM40" s="147">
        <f t="shared" si="82"/>
        <v>241.88952476934347</v>
      </c>
      <c r="AO40">
        <f t="shared" si="53"/>
        <v>34.999999999999993</v>
      </c>
      <c r="AP40" s="147">
        <f t="shared" si="24"/>
        <v>241.88952476934347</v>
      </c>
      <c r="AQ40" s="147"/>
      <c r="AR40" s="5">
        <f t="shared" si="54"/>
        <v>4.1341186682373348</v>
      </c>
      <c r="AS40" s="5">
        <f t="shared" si="25"/>
        <v>1.6431676725154984</v>
      </c>
      <c r="AT40" s="5">
        <f t="shared" si="55"/>
        <v>2.4909509957218363</v>
      </c>
      <c r="AU40" s="153">
        <f t="shared" si="56"/>
        <v>0.3974650474211221</v>
      </c>
      <c r="AW40" s="5">
        <f t="shared" si="83"/>
        <v>1.7236920000000002</v>
      </c>
      <c r="AX40" s="5">
        <f t="shared" si="84"/>
        <v>2.2165226999999992</v>
      </c>
      <c r="AY40" s="5">
        <f t="shared" si="85"/>
        <v>1.7372910952321905</v>
      </c>
      <c r="AZ40" s="5">
        <f t="shared" si="86"/>
        <v>1.6177684302977691</v>
      </c>
      <c r="BA40" s="5">
        <f t="shared" si="87"/>
        <v>0.1743665697005285</v>
      </c>
      <c r="BB40" s="147">
        <f t="shared" si="88"/>
        <v>17.646656970052849</v>
      </c>
      <c r="BC40" s="5"/>
      <c r="BD40" s="153">
        <f t="shared" si="57"/>
        <v>7.9746101840390618E-2</v>
      </c>
      <c r="BE40" s="153">
        <f t="shared" si="89"/>
        <v>9.818634956684176E-2</v>
      </c>
      <c r="BF40" s="153">
        <f t="shared" si="90"/>
        <v>9.7801305058736521E-2</v>
      </c>
      <c r="BG40" s="153"/>
      <c r="BH40" s="463">
        <f t="shared" si="34"/>
        <v>2.2258042655582829E-3</v>
      </c>
      <c r="BI40" s="463">
        <f t="shared" si="35"/>
        <v>1.0683860474679761E-2</v>
      </c>
      <c r="BJ40" s="463">
        <f t="shared" si="36"/>
        <v>3.0236190596167932E-3</v>
      </c>
      <c r="BK40" s="463">
        <f t="shared" si="37"/>
        <v>1.9662019047619057E-2</v>
      </c>
      <c r="BL40">
        <f t="shared" si="38"/>
        <v>5.7999999999999996E-3</v>
      </c>
      <c r="BM40">
        <f t="shared" si="91"/>
        <v>9.0708571788503789E-6</v>
      </c>
      <c r="BN40">
        <f t="shared" si="92"/>
        <v>4.1721990870281118E-2</v>
      </c>
      <c r="BO40" s="147">
        <f t="shared" si="58"/>
        <v>41.721990870281118</v>
      </c>
      <c r="BP40" s="153">
        <f t="shared" si="93"/>
        <v>2.0735387260324204E-2</v>
      </c>
      <c r="BQ40" s="153">
        <f t="shared" si="94"/>
        <v>2.067773278719072E-2</v>
      </c>
      <c r="BR40" s="463"/>
      <c r="BT40" s="147">
        <f t="shared" si="59"/>
        <v>41.413120047514923</v>
      </c>
      <c r="BU40" s="463">
        <f t="shared" si="43"/>
        <v>5.087552606990362E-3</v>
      </c>
      <c r="BV40" s="463">
        <f t="shared" si="60"/>
        <v>7.6738851560445897E-3</v>
      </c>
      <c r="BW40" s="463">
        <f t="shared" si="95"/>
        <v>4.7825476355960211E-4</v>
      </c>
      <c r="BX40" s="463">
        <f t="shared" si="45"/>
        <v>0</v>
      </c>
      <c r="BY40" s="463">
        <f t="shared" si="96"/>
        <v>1.4844178218219437E-2</v>
      </c>
      <c r="BZ40" s="463">
        <f t="shared" si="61"/>
        <v>1.3239692526594554E-2</v>
      </c>
      <c r="CA40" s="549">
        <f t="shared" si="97"/>
        <v>1.7416045783392734E-2</v>
      </c>
      <c r="CB40" s="147">
        <f t="shared" si="62"/>
        <v>32.260224001612173</v>
      </c>
      <c r="CC40" s="153">
        <f t="shared" si="63"/>
        <v>0.11539533491940822</v>
      </c>
      <c r="CD40" s="5">
        <f t="shared" si="64"/>
        <v>1.2599999999999998</v>
      </c>
      <c r="CE40" s="153">
        <f t="shared" si="65"/>
        <v>0.91610024260685041</v>
      </c>
      <c r="CF40" s="5">
        <f t="shared" si="66"/>
        <v>91.610024260685037</v>
      </c>
      <c r="CG40">
        <f t="shared" si="102"/>
        <v>34.999999999999993</v>
      </c>
      <c r="CI40" s="59">
        <f t="shared" si="98"/>
        <v>-50</v>
      </c>
      <c r="CJ40">
        <f t="shared" si="99"/>
        <v>-50</v>
      </c>
    </row>
    <row r="41" spans="5:88" x14ac:dyDescent="0.25">
      <c r="E41" s="150">
        <v>36</v>
      </c>
      <c r="F41" s="191">
        <f t="shared" si="103"/>
        <v>3.5999999999999997E-2</v>
      </c>
      <c r="G41" s="191">
        <f t="shared" si="100"/>
        <v>3.5999999999999997E-2</v>
      </c>
      <c r="H41" s="191">
        <f t="shared" si="70"/>
        <v>0.72</v>
      </c>
      <c r="I41" s="191">
        <f t="shared" si="104"/>
        <v>0.57599999999999996</v>
      </c>
      <c r="J41" s="472">
        <f t="shared" si="1"/>
        <v>20</v>
      </c>
      <c r="K41" s="386">
        <f t="shared" si="2"/>
        <v>20.32</v>
      </c>
      <c r="L41" s="386">
        <f t="shared" si="3"/>
        <v>40.32</v>
      </c>
      <c r="M41" s="386"/>
      <c r="N41" s="191">
        <f t="shared" si="4"/>
        <v>0.50396825396825395</v>
      </c>
      <c r="O41" s="152">
        <f t="shared" si="101"/>
        <v>1.8898809523809523</v>
      </c>
      <c r="P41" s="152">
        <f t="shared" si="71"/>
        <v>2.7214285714285715</v>
      </c>
      <c r="Q41" s="191">
        <f t="shared" si="6"/>
        <v>9.4494047619047616E-2</v>
      </c>
      <c r="R41" s="191">
        <f t="shared" si="72"/>
        <v>0.11811755952380952</v>
      </c>
      <c r="S41" s="386">
        <f t="shared" si="73"/>
        <v>20</v>
      </c>
      <c r="T41" s="191">
        <f t="shared" si="74"/>
        <v>0.28573228346456692</v>
      </c>
      <c r="U41" s="191">
        <f t="shared" si="10"/>
        <v>2.1429921259842515</v>
      </c>
      <c r="V41" s="191">
        <f t="shared" si="11"/>
        <v>2.1092442184884366</v>
      </c>
      <c r="W41" s="175">
        <f t="shared" si="12"/>
        <v>350</v>
      </c>
      <c r="X41" s="386">
        <f t="shared" si="52"/>
        <v>235.1703713035283</v>
      </c>
      <c r="Z41" s="191">
        <f t="shared" si="13"/>
        <v>0.19198790627362058</v>
      </c>
      <c r="AA41" s="153">
        <f t="shared" si="14"/>
        <v>1.4172335600907029</v>
      </c>
      <c r="AB41" s="153">
        <f t="shared" si="75"/>
        <v>4.7616048182941621E-2</v>
      </c>
      <c r="AC41" s="153"/>
      <c r="AD41" s="153">
        <f t="shared" si="16"/>
        <v>1.1072834645669289</v>
      </c>
      <c r="AE41" s="317">
        <f t="shared" si="76"/>
        <v>433.49333333333334</v>
      </c>
      <c r="AF41" s="463">
        <f t="shared" si="77"/>
        <v>2.9066190944881887E-2</v>
      </c>
      <c r="AH41" s="153">
        <f t="shared" si="78"/>
        <v>0.22219682394541235</v>
      </c>
      <c r="AI41" s="153">
        <f t="shared" si="79"/>
        <v>0.22219682394541235</v>
      </c>
      <c r="AJ41" s="153">
        <f t="shared" si="80"/>
        <v>1.2534791288484535</v>
      </c>
      <c r="AL41" s="317">
        <f t="shared" si="81"/>
        <v>36</v>
      </c>
      <c r="AM41" s="147">
        <f t="shared" si="82"/>
        <v>235.1703713035283</v>
      </c>
      <c r="AO41">
        <f t="shared" si="53"/>
        <v>36</v>
      </c>
      <c r="AP41" s="147">
        <f t="shared" si="24"/>
        <v>235.1703713035283</v>
      </c>
      <c r="AQ41" s="147"/>
      <c r="AR41" s="5">
        <f t="shared" si="54"/>
        <v>4.2522363444726885</v>
      </c>
      <c r="AS41" s="5">
        <f t="shared" si="25"/>
        <v>1.6664761795905925</v>
      </c>
      <c r="AT41" s="5">
        <f t="shared" si="55"/>
        <v>2.585760164882096</v>
      </c>
      <c r="AU41" s="153">
        <f t="shared" si="56"/>
        <v>0.39190582192280493</v>
      </c>
      <c r="AW41" s="5">
        <f t="shared" si="83"/>
        <v>1.7236920000000002</v>
      </c>
      <c r="AX41" s="5">
        <f t="shared" si="84"/>
        <v>2.3419048319999995</v>
      </c>
      <c r="AY41" s="5">
        <f t="shared" si="85"/>
        <v>1.7372910952321905</v>
      </c>
      <c r="AZ41" s="5">
        <f t="shared" si="86"/>
        <v>1.7094758250333952</v>
      </c>
      <c r="BA41" s="5">
        <f t="shared" si="87"/>
        <v>0.18617473187151087</v>
      </c>
      <c r="BB41" s="147">
        <f t="shared" si="88"/>
        <v>18.833473187151089</v>
      </c>
      <c r="BC41" s="5"/>
      <c r="BD41" s="153">
        <f t="shared" si="57"/>
        <v>8.0309713596361368E-2</v>
      </c>
      <c r="BE41" s="153">
        <f t="shared" si="89"/>
        <v>0.10003745678101413</v>
      </c>
      <c r="BF41" s="153">
        <f t="shared" si="90"/>
        <v>9.9645153028931718E-2</v>
      </c>
      <c r="BG41" s="153"/>
      <c r="BH41" s="463">
        <f t="shared" si="34"/>
        <v>2.2573775342753562E-3</v>
      </c>
      <c r="BI41" s="463">
        <f t="shared" si="35"/>
        <v>1.0534428493284998E-2</v>
      </c>
      <c r="BJ41" s="463">
        <f t="shared" si="36"/>
        <v>2.9396296412941034E-3</v>
      </c>
      <c r="BK41" s="463">
        <f t="shared" si="37"/>
        <v>1.9115851851851856E-2</v>
      </c>
      <c r="BL41">
        <f t="shared" si="38"/>
        <v>5.7999999999999996E-3</v>
      </c>
      <c r="BM41">
        <f t="shared" si="91"/>
        <v>8.8188889238823103E-6</v>
      </c>
      <c r="BN41">
        <f t="shared" si="92"/>
        <v>4.0977919112731555E-2</v>
      </c>
      <c r="BO41" s="147">
        <f t="shared" si="58"/>
        <v>40.977919112731556</v>
      </c>
      <c r="BP41" s="153">
        <f t="shared" si="93"/>
        <v>2.1397724468038937E-2</v>
      </c>
      <c r="BQ41" s="153">
        <f t="shared" si="94"/>
        <v>2.1337875582929641E-2</v>
      </c>
      <c r="BR41" s="463"/>
      <c r="BT41" s="147">
        <f t="shared" si="59"/>
        <v>42.735600050968579</v>
      </c>
      <c r="BU41" s="463">
        <f t="shared" si="43"/>
        <v>5.1597200783436723E-3</v>
      </c>
      <c r="BV41" s="463">
        <f t="shared" si="60"/>
        <v>7.9659642363337623E-3</v>
      </c>
      <c r="BW41" s="463">
        <f t="shared" si="95"/>
        <v>4.9645782610796107E-4</v>
      </c>
      <c r="BX41" s="463">
        <f t="shared" si="45"/>
        <v>0</v>
      </c>
      <c r="BY41" s="463">
        <f t="shared" si="96"/>
        <v>1.5273443759429264E-2</v>
      </c>
      <c r="BZ41" s="463">
        <f t="shared" si="61"/>
        <v>1.3622142140785396E-2</v>
      </c>
      <c r="CA41" s="549">
        <f t="shared" si="97"/>
        <v>1.7416045783392727E-2</v>
      </c>
      <c r="CB41" s="147">
        <f t="shared" si="62"/>
        <v>32.689489542821988</v>
      </c>
      <c r="CC41" s="153">
        <f t="shared" si="63"/>
        <v>0.11640300870652213</v>
      </c>
      <c r="CD41" s="5">
        <f t="shared" si="64"/>
        <v>1.2959999999999998</v>
      </c>
      <c r="CE41" s="153">
        <f t="shared" si="65"/>
        <v>0.9175851311637151</v>
      </c>
      <c r="CF41" s="5">
        <f t="shared" si="66"/>
        <v>91.758513116371503</v>
      </c>
      <c r="CG41">
        <f t="shared" si="102"/>
        <v>35.999999999999993</v>
      </c>
      <c r="CI41" s="59">
        <f t="shared" si="98"/>
        <v>-50</v>
      </c>
      <c r="CJ41">
        <f t="shared" si="99"/>
        <v>-50</v>
      </c>
    </row>
    <row r="42" spans="5:88" x14ac:dyDescent="0.25">
      <c r="E42" s="150">
        <v>37</v>
      </c>
      <c r="F42" s="191">
        <f t="shared" si="103"/>
        <v>3.6999999999999998E-2</v>
      </c>
      <c r="G42" s="191">
        <f t="shared" si="100"/>
        <v>3.6999999999999998E-2</v>
      </c>
      <c r="H42" s="191">
        <f t="shared" si="70"/>
        <v>0.74</v>
      </c>
      <c r="I42" s="191">
        <f t="shared" si="104"/>
        <v>0.59199999999999997</v>
      </c>
      <c r="J42" s="472">
        <f t="shared" si="1"/>
        <v>20</v>
      </c>
      <c r="K42" s="386">
        <f t="shared" si="2"/>
        <v>20.32</v>
      </c>
      <c r="L42" s="386">
        <f t="shared" si="3"/>
        <v>40.32</v>
      </c>
      <c r="M42" s="386"/>
      <c r="N42" s="191">
        <f t="shared" si="4"/>
        <v>0.50396825396825395</v>
      </c>
      <c r="O42" s="152">
        <f t="shared" si="101"/>
        <v>1.8898809523809523</v>
      </c>
      <c r="P42" s="152">
        <f t="shared" si="71"/>
        <v>2.7214285714285715</v>
      </c>
      <c r="Q42" s="191">
        <f t="shared" si="6"/>
        <v>9.4494047619047616E-2</v>
      </c>
      <c r="R42" s="191">
        <f t="shared" si="72"/>
        <v>0.11811755952380952</v>
      </c>
      <c r="S42" s="386">
        <f t="shared" si="73"/>
        <v>20</v>
      </c>
      <c r="T42" s="191">
        <f t="shared" si="74"/>
        <v>0.29366929133858266</v>
      </c>
      <c r="U42" s="191">
        <f t="shared" si="10"/>
        <v>2.2025196850393698</v>
      </c>
      <c r="V42" s="191">
        <f t="shared" si="11"/>
        <v>2.1678343356686711</v>
      </c>
      <c r="W42" s="175">
        <f t="shared" si="12"/>
        <v>350</v>
      </c>
      <c r="X42" s="386">
        <f t="shared" si="52"/>
        <v>228.81441532235189</v>
      </c>
      <c r="Z42" s="191">
        <f t="shared" si="13"/>
        <v>0.19198790627362058</v>
      </c>
      <c r="AA42" s="153">
        <f t="shared" si="14"/>
        <v>1.4172335600907029</v>
      </c>
      <c r="AB42" s="153">
        <f t="shared" si="75"/>
        <v>4.7616048182941621E-2</v>
      </c>
      <c r="AC42" s="153"/>
      <c r="AD42" s="153">
        <f t="shared" si="16"/>
        <v>1.1072834645669289</v>
      </c>
      <c r="AE42" s="317">
        <f t="shared" si="76"/>
        <v>445.53481481481481</v>
      </c>
      <c r="AF42" s="463">
        <f t="shared" si="77"/>
        <v>2.9066190944881887E-2</v>
      </c>
      <c r="AH42" s="153">
        <f t="shared" si="78"/>
        <v>0.22526175250773742</v>
      </c>
      <c r="AI42" s="153">
        <f t="shared" si="79"/>
        <v>0.22526175250773742</v>
      </c>
      <c r="AJ42" s="153">
        <f t="shared" si="80"/>
        <v>1.2557494463020276</v>
      </c>
      <c r="AL42" s="317">
        <f t="shared" si="81"/>
        <v>37</v>
      </c>
      <c r="AM42" s="147">
        <f t="shared" si="82"/>
        <v>228.81441532235189</v>
      </c>
      <c r="AO42">
        <f t="shared" si="53"/>
        <v>37</v>
      </c>
      <c r="AP42" s="147">
        <f t="shared" si="24"/>
        <v>228.81441532235189</v>
      </c>
      <c r="AQ42" s="147"/>
      <c r="AR42" s="5">
        <f t="shared" si="54"/>
        <v>4.3703540207080405</v>
      </c>
      <c r="AS42" s="5">
        <f t="shared" si="25"/>
        <v>1.6894631438080303</v>
      </c>
      <c r="AT42" s="5">
        <f t="shared" si="55"/>
        <v>2.6808908769000102</v>
      </c>
      <c r="AU42" s="153">
        <f t="shared" si="56"/>
        <v>0.38657352145909696</v>
      </c>
      <c r="AW42" s="5">
        <f t="shared" si="83"/>
        <v>1.7236920000000002</v>
      </c>
      <c r="AX42" s="5">
        <f t="shared" si="84"/>
        <v>2.4707343479999997</v>
      </c>
      <c r="AY42" s="5">
        <f t="shared" si="85"/>
        <v>1.7372910952321905</v>
      </c>
      <c r="AZ42" s="5">
        <f t="shared" si="86"/>
        <v>1.8037101886348132</v>
      </c>
      <c r="BA42" s="5">
        <f t="shared" si="87"/>
        <v>0.1983859248906007</v>
      </c>
      <c r="BB42" s="147">
        <f t="shared" si="88"/>
        <v>20.060592489060078</v>
      </c>
      <c r="BC42" s="5"/>
      <c r="BD42" s="153">
        <f t="shared" si="57"/>
        <v>8.0861702873095159E-2</v>
      </c>
      <c r="BE42" s="153">
        <f t="shared" si="89"/>
        <v>0.10186103633258886</v>
      </c>
      <c r="BF42" s="153">
        <f t="shared" si="90"/>
        <v>0.10146158128814733</v>
      </c>
      <c r="BG42" s="153"/>
      <c r="BH42" s="463">
        <f t="shared" si="34"/>
        <v>2.2885152470378538E-3</v>
      </c>
      <c r="BI42" s="463">
        <f t="shared" si="35"/>
        <v>1.0391096256820529E-2</v>
      </c>
      <c r="BJ42" s="463">
        <f t="shared" si="36"/>
        <v>2.8601801915293986E-3</v>
      </c>
      <c r="BK42" s="463">
        <f t="shared" si="37"/>
        <v>1.8599207207207216E-2</v>
      </c>
      <c r="BL42">
        <f t="shared" si="38"/>
        <v>5.7999999999999996E-3</v>
      </c>
      <c r="BM42">
        <f t="shared" si="91"/>
        <v>8.580540574588196E-6</v>
      </c>
      <c r="BN42">
        <f t="shared" si="92"/>
        <v>4.0273533738484017E-2</v>
      </c>
      <c r="BO42" s="147">
        <f t="shared" si="58"/>
        <v>40.273533738484019</v>
      </c>
      <c r="BP42" s="153">
        <f t="shared" si="93"/>
        <v>2.206101243218023E-2</v>
      </c>
      <c r="BQ42" s="153">
        <f t="shared" si="94"/>
        <v>2.1998961692803378E-2</v>
      </c>
      <c r="BR42" s="463"/>
      <c r="BT42" s="147">
        <f t="shared" si="59"/>
        <v>44.059974124983611</v>
      </c>
      <c r="BU42" s="463">
        <f t="shared" si="43"/>
        <v>5.2308919932293812E-3</v>
      </c>
      <c r="BV42" s="463">
        <f t="shared" si="60"/>
        <v>8.2590338953081946E-3</v>
      </c>
      <c r="BW42" s="463">
        <f t="shared" si="95"/>
        <v>5.1472262387456649E-4</v>
      </c>
      <c r="BX42" s="463">
        <f t="shared" si="45"/>
        <v>0</v>
      </c>
      <c r="BY42" s="463">
        <f t="shared" si="96"/>
        <v>1.5702799308699944E-2</v>
      </c>
      <c r="BZ42" s="463">
        <f t="shared" si="61"/>
        <v>1.4004648512412144E-2</v>
      </c>
      <c r="CA42" s="549">
        <f t="shared" si="97"/>
        <v>1.7416045783392731E-2</v>
      </c>
      <c r="CB42" s="147">
        <f t="shared" si="62"/>
        <v>33.118845092092677</v>
      </c>
      <c r="CC42" s="153">
        <f t="shared" si="63"/>
        <v>0.11745235295556031</v>
      </c>
      <c r="CD42" s="5">
        <f t="shared" si="64"/>
        <v>1.3319999999999999</v>
      </c>
      <c r="CE42" s="153">
        <f t="shared" si="65"/>
        <v>0.9189677724030979</v>
      </c>
      <c r="CF42" s="5">
        <f t="shared" si="66"/>
        <v>91.896777240309788</v>
      </c>
      <c r="CG42">
        <f t="shared" si="102"/>
        <v>36.999999999999993</v>
      </c>
      <c r="CI42" s="59">
        <f t="shared" si="98"/>
        <v>-50</v>
      </c>
      <c r="CJ42">
        <f t="shared" si="99"/>
        <v>-50</v>
      </c>
    </row>
    <row r="43" spans="5:88" x14ac:dyDescent="0.25">
      <c r="E43" s="150">
        <v>38</v>
      </c>
      <c r="F43" s="191">
        <f t="shared" si="103"/>
        <v>3.8000000000000006E-2</v>
      </c>
      <c r="G43" s="191">
        <f t="shared" si="100"/>
        <v>3.8000000000000006E-2</v>
      </c>
      <c r="H43" s="191">
        <f t="shared" si="70"/>
        <v>0.76000000000000012</v>
      </c>
      <c r="I43" s="191">
        <f t="shared" si="104"/>
        <v>0.6080000000000001</v>
      </c>
      <c r="J43" s="472">
        <f t="shared" si="1"/>
        <v>20</v>
      </c>
      <c r="K43" s="386">
        <f t="shared" si="2"/>
        <v>20.32</v>
      </c>
      <c r="L43" s="386">
        <f t="shared" si="3"/>
        <v>40.32</v>
      </c>
      <c r="M43" s="386"/>
      <c r="N43" s="191">
        <f t="shared" si="4"/>
        <v>0.50396825396825395</v>
      </c>
      <c r="O43" s="152">
        <f t="shared" si="101"/>
        <v>1.8898809523809523</v>
      </c>
      <c r="P43" s="152">
        <f t="shared" si="71"/>
        <v>2.7214285714285715</v>
      </c>
      <c r="Q43" s="191">
        <f t="shared" si="6"/>
        <v>9.4494047619047616E-2</v>
      </c>
      <c r="R43" s="191">
        <f t="shared" si="72"/>
        <v>0.11811755952380952</v>
      </c>
      <c r="S43" s="386">
        <f t="shared" si="73"/>
        <v>20</v>
      </c>
      <c r="T43" s="191">
        <f t="shared" si="74"/>
        <v>0.30160629921259852</v>
      </c>
      <c r="U43" s="191">
        <f t="shared" si="10"/>
        <v>2.2620472440944885</v>
      </c>
      <c r="V43" s="191">
        <f t="shared" si="11"/>
        <v>2.2264244528489061</v>
      </c>
      <c r="W43" s="175">
        <f t="shared" si="12"/>
        <v>350</v>
      </c>
      <c r="X43" s="386">
        <f t="shared" si="52"/>
        <v>222.79298334018466</v>
      </c>
      <c r="Z43" s="191">
        <f t="shared" si="13"/>
        <v>0.19198790627362058</v>
      </c>
      <c r="AA43" s="153">
        <f t="shared" si="14"/>
        <v>1.4172335600907029</v>
      </c>
      <c r="AB43" s="153">
        <f t="shared" si="75"/>
        <v>4.7616048182941621E-2</v>
      </c>
      <c r="AC43" s="153"/>
      <c r="AD43" s="153">
        <f t="shared" si="16"/>
        <v>1.1072834645669289</v>
      </c>
      <c r="AE43" s="317">
        <f t="shared" si="76"/>
        <v>457.57629629629639</v>
      </c>
      <c r="AF43" s="463">
        <f t="shared" si="77"/>
        <v>2.9066190944881887E-2</v>
      </c>
      <c r="AH43" s="153">
        <f t="shared" si="78"/>
        <v>0.22828553549072209</v>
      </c>
      <c r="AI43" s="153">
        <f t="shared" si="79"/>
        <v>0.22828553549072209</v>
      </c>
      <c r="AJ43" s="153">
        <f t="shared" si="80"/>
        <v>1.2579892855486829</v>
      </c>
      <c r="AL43" s="317">
        <f t="shared" si="81"/>
        <v>38.000000000000007</v>
      </c>
      <c r="AM43" s="147">
        <f t="shared" si="82"/>
        <v>222.79298334018466</v>
      </c>
      <c r="AO43">
        <f t="shared" si="53"/>
        <v>38.000000000000007</v>
      </c>
      <c r="AP43" s="147">
        <f t="shared" si="24"/>
        <v>222.79298334018466</v>
      </c>
      <c r="AQ43" s="147"/>
      <c r="AR43" s="5">
        <f t="shared" si="54"/>
        <v>4.4884716969433942</v>
      </c>
      <c r="AS43" s="5">
        <f t="shared" si="25"/>
        <v>1.7121415161804157</v>
      </c>
      <c r="AT43" s="5">
        <f t="shared" si="55"/>
        <v>2.7763301807629786</v>
      </c>
      <c r="AU43" s="153">
        <f t="shared" si="56"/>
        <v>0.38145311629042183</v>
      </c>
      <c r="AW43" s="5">
        <f t="shared" si="83"/>
        <v>1.7236920000000002</v>
      </c>
      <c r="AX43" s="5">
        <f t="shared" si="84"/>
        <v>2.6030112480000001</v>
      </c>
      <c r="AY43" s="5">
        <f t="shared" si="85"/>
        <v>1.7372910952321905</v>
      </c>
      <c r="AZ43" s="5">
        <f t="shared" si="86"/>
        <v>1.9004715211020244</v>
      </c>
      <c r="BA43" s="5">
        <f t="shared" si="87"/>
        <v>0.21100109373798639</v>
      </c>
      <c r="BB43" s="147">
        <f t="shared" si="88"/>
        <v>21.32810937379864</v>
      </c>
      <c r="BC43" s="5"/>
      <c r="BD43" s="153">
        <f t="shared" si="57"/>
        <v>8.1402613981296085E-2</v>
      </c>
      <c r="BE43" s="153">
        <f t="shared" si="89"/>
        <v>0.1036582992743016</v>
      </c>
      <c r="BF43" s="153">
        <f t="shared" si="90"/>
        <v>0.10325179613989258</v>
      </c>
      <c r="BG43" s="153"/>
      <c r="BH43" s="463">
        <f t="shared" si="34"/>
        <v>2.319234947045765E-3</v>
      </c>
      <c r="BI43" s="463">
        <f t="shared" si="35"/>
        <v>1.0253459765886539E-2</v>
      </c>
      <c r="BJ43" s="463">
        <f t="shared" si="36"/>
        <v>2.7849122917523081E-3</v>
      </c>
      <c r="BK43" s="463">
        <f t="shared" si="37"/>
        <v>1.8109754385964915E-2</v>
      </c>
      <c r="BL43">
        <f t="shared" si="38"/>
        <v>5.7999999999999996E-3</v>
      </c>
      <c r="BM43">
        <f t="shared" si="91"/>
        <v>8.3547368752569253E-6</v>
      </c>
      <c r="BN43">
        <f t="shared" si="92"/>
        <v>3.9605760104488144E-2</v>
      </c>
      <c r="BO43" s="147">
        <f t="shared" si="58"/>
        <v>39.605760104488141</v>
      </c>
      <c r="BP43" s="153">
        <f t="shared" si="93"/>
        <v>2.2725212858448678E-2</v>
      </c>
      <c r="BQ43" s="153">
        <f t="shared" si="94"/>
        <v>2.2660953122271048E-2</v>
      </c>
      <c r="BR43" s="463"/>
      <c r="BT43" s="147">
        <f t="shared" si="59"/>
        <v>45.386165980719724</v>
      </c>
      <c r="BU43" s="463">
        <f t="shared" si="43"/>
        <v>5.3011084503903211E-3</v>
      </c>
      <c r="BV43" s="463">
        <f t="shared" si="60"/>
        <v>8.5530542347187783E-3</v>
      </c>
      <c r="BW43" s="463">
        <f t="shared" si="95"/>
        <v>5.3304667030569682E-4</v>
      </c>
      <c r="BX43" s="463">
        <f t="shared" si="45"/>
        <v>0</v>
      </c>
      <c r="BY43" s="463">
        <f t="shared" si="96"/>
        <v>1.6132242313867926E-2</v>
      </c>
      <c r="BZ43" s="463">
        <f t="shared" si="61"/>
        <v>1.4387209355414796E-2</v>
      </c>
      <c r="CA43" s="549">
        <f t="shared" si="97"/>
        <v>1.7416045783392727E-2</v>
      </c>
      <c r="CB43" s="147">
        <f t="shared" si="62"/>
        <v>33.548288097260652</v>
      </c>
      <c r="CC43" s="153">
        <f t="shared" si="63"/>
        <v>0.11854021418246853</v>
      </c>
      <c r="CD43" s="5">
        <f t="shared" si="64"/>
        <v>1.3680000000000003</v>
      </c>
      <c r="CE43" s="153">
        <f t="shared" si="65"/>
        <v>0.92025764721900893</v>
      </c>
      <c r="CF43" s="5">
        <f t="shared" si="66"/>
        <v>92.025764721900899</v>
      </c>
      <c r="CG43">
        <f t="shared" si="102"/>
        <v>38.000000000000007</v>
      </c>
      <c r="CI43" s="59">
        <f t="shared" si="98"/>
        <v>-50</v>
      </c>
      <c r="CJ43">
        <f t="shared" si="99"/>
        <v>-50</v>
      </c>
    </row>
    <row r="44" spans="5:88" x14ac:dyDescent="0.25">
      <c r="E44" s="150">
        <v>39</v>
      </c>
      <c r="F44" s="191">
        <f t="shared" si="103"/>
        <v>3.9000000000000007E-2</v>
      </c>
      <c r="G44" s="191">
        <f t="shared" si="100"/>
        <v>3.9000000000000007E-2</v>
      </c>
      <c r="H44" s="191">
        <f t="shared" si="70"/>
        <v>0.78000000000000014</v>
      </c>
      <c r="I44" s="191">
        <f t="shared" si="104"/>
        <v>0.62400000000000011</v>
      </c>
      <c r="J44" s="472">
        <f t="shared" si="1"/>
        <v>20</v>
      </c>
      <c r="K44" s="386">
        <f t="shared" si="2"/>
        <v>20.32</v>
      </c>
      <c r="L44" s="386">
        <f t="shared" si="3"/>
        <v>40.32</v>
      </c>
      <c r="M44" s="386"/>
      <c r="N44" s="191">
        <f t="shared" si="4"/>
        <v>0.50396825396825395</v>
      </c>
      <c r="O44" s="152">
        <f t="shared" si="101"/>
        <v>1.8898809523809523</v>
      </c>
      <c r="P44" s="152">
        <f t="shared" si="71"/>
        <v>2.7214285714285715</v>
      </c>
      <c r="Q44" s="191">
        <f t="shared" si="6"/>
        <v>9.4494047619047616E-2</v>
      </c>
      <c r="R44" s="191">
        <f t="shared" si="72"/>
        <v>0.11811755952380952</v>
      </c>
      <c r="S44" s="386">
        <f t="shared" si="73"/>
        <v>20</v>
      </c>
      <c r="T44" s="191">
        <f t="shared" si="74"/>
        <v>0.30954330708661426</v>
      </c>
      <c r="U44" s="191">
        <f t="shared" si="10"/>
        <v>2.3215748031496064</v>
      </c>
      <c r="V44" s="191">
        <f t="shared" si="11"/>
        <v>2.2850145700291402</v>
      </c>
      <c r="W44" s="175">
        <f t="shared" si="12"/>
        <v>350</v>
      </c>
      <c r="X44" s="386">
        <f t="shared" si="52"/>
        <v>217.08034274171843</v>
      </c>
      <c r="Z44" s="191">
        <f t="shared" si="13"/>
        <v>0.19198790627362058</v>
      </c>
      <c r="AA44" s="153">
        <f t="shared" si="14"/>
        <v>1.4172335600907029</v>
      </c>
      <c r="AB44" s="153">
        <f t="shared" si="75"/>
        <v>4.7616048182941621E-2</v>
      </c>
      <c r="AC44" s="153"/>
      <c r="AD44" s="153">
        <f t="shared" si="16"/>
        <v>1.1072834645669289</v>
      </c>
      <c r="AE44" s="317">
        <f t="shared" si="76"/>
        <v>469.61777777777786</v>
      </c>
      <c r="AF44" s="463">
        <f t="shared" si="77"/>
        <v>2.9066190944881887E-2</v>
      </c>
      <c r="AH44" s="153">
        <f t="shared" si="78"/>
        <v>0.23126978679826363</v>
      </c>
      <c r="AI44" s="153">
        <f t="shared" si="79"/>
        <v>0.23126978679826363</v>
      </c>
      <c r="AJ44" s="153">
        <f t="shared" si="80"/>
        <v>1.2601998420727878</v>
      </c>
      <c r="AL44" s="317">
        <f t="shared" si="81"/>
        <v>39.000000000000007</v>
      </c>
      <c r="AM44" s="147">
        <f t="shared" si="82"/>
        <v>217.08034274171843</v>
      </c>
      <c r="AO44">
        <f t="shared" si="53"/>
        <v>39.000000000000007</v>
      </c>
      <c r="AP44" s="147">
        <f t="shared" si="24"/>
        <v>217.08034274171843</v>
      </c>
      <c r="AQ44" s="147"/>
      <c r="AR44" s="5">
        <f t="shared" si="54"/>
        <v>4.6065893731787462</v>
      </c>
      <c r="AS44" s="5">
        <f t="shared" si="25"/>
        <v>1.734523400986977</v>
      </c>
      <c r="AT44" s="5">
        <f t="shared" si="55"/>
        <v>2.872065972191769</v>
      </c>
      <c r="AU44" s="153">
        <f t="shared" si="56"/>
        <v>0.37653093437978402</v>
      </c>
      <c r="AW44" s="5">
        <f t="shared" si="83"/>
        <v>1.7236920000000002</v>
      </c>
      <c r="AX44" s="5">
        <f t="shared" si="84"/>
        <v>2.7387355320000002</v>
      </c>
      <c r="AY44" s="5">
        <f t="shared" si="85"/>
        <v>1.7372910952321905</v>
      </c>
      <c r="AZ44" s="5">
        <f t="shared" si="86"/>
        <v>1.9997598224350268</v>
      </c>
      <c r="BA44" s="5">
        <f t="shared" si="87"/>
        <v>0.22402114583095803</v>
      </c>
      <c r="BB44" s="147">
        <f t="shared" si="88"/>
        <v>22.636114583095804</v>
      </c>
      <c r="BC44" s="5"/>
      <c r="BD44" s="153">
        <f t="shared" si="57"/>
        <v>8.1932952214946606E-2</v>
      </c>
      <c r="BE44" s="153">
        <f t="shared" si="89"/>
        <v>0.10543036929611274</v>
      </c>
      <c r="BF44" s="153">
        <f t="shared" si="90"/>
        <v>0.10501691686750055</v>
      </c>
      <c r="BG44" s="153"/>
      <c r="BH44" s="463">
        <f t="shared" si="34"/>
        <v>2.3495530305298533E-3</v>
      </c>
      <c r="BI44" s="463">
        <f t="shared" si="35"/>
        <v>1.0121151516128597E-2</v>
      </c>
      <c r="BJ44" s="463">
        <f t="shared" si="36"/>
        <v>2.7135042842714803E-3</v>
      </c>
      <c r="BK44" s="463">
        <f t="shared" si="37"/>
        <v>1.7645401709401713E-2</v>
      </c>
      <c r="BL44">
        <f t="shared" si="38"/>
        <v>5.7999999999999996E-3</v>
      </c>
      <c r="BM44">
        <f t="shared" si="91"/>
        <v>8.1405128528144407E-6</v>
      </c>
      <c r="BN44">
        <f t="shared" si="92"/>
        <v>3.8971834711694957E-2</v>
      </c>
      <c r="BO44" s="147">
        <f t="shared" si="58"/>
        <v>38.97183471169496</v>
      </c>
      <c r="BP44" s="153">
        <f t="shared" si="93"/>
        <v>2.3390289956214845E-2</v>
      </c>
      <c r="BQ44" s="153">
        <f t="shared" si="94"/>
        <v>2.3323814360863622E-2</v>
      </c>
      <c r="BR44" s="463"/>
      <c r="BT44" s="147">
        <f t="shared" si="59"/>
        <v>46.714104317078466</v>
      </c>
      <c r="BU44" s="463">
        <f t="shared" si="43"/>
        <v>5.3704069269253796E-3</v>
      </c>
      <c r="BV44" s="463">
        <f t="shared" si="60"/>
        <v>8.8479879648521113E-3</v>
      </c>
      <c r="BW44" s="463">
        <f t="shared" si="95"/>
        <v>5.5142764141777605E-4</v>
      </c>
      <c r="BX44" s="463">
        <f t="shared" si="45"/>
        <v>0</v>
      </c>
      <c r="BY44" s="463">
        <f t="shared" si="96"/>
        <v>1.6561770389938293E-2</v>
      </c>
      <c r="BZ44" s="463">
        <f t="shared" si="61"/>
        <v>1.4769822533195268E-2</v>
      </c>
      <c r="CA44" s="549">
        <f t="shared" si="97"/>
        <v>1.7416045783392731E-2</v>
      </c>
      <c r="CB44" s="147">
        <f t="shared" si="62"/>
        <v>33.977816173331021</v>
      </c>
      <c r="CC44" s="153">
        <f t="shared" si="63"/>
        <v>0.11966375520210444</v>
      </c>
      <c r="CD44" s="5">
        <f t="shared" si="64"/>
        <v>1.4040000000000004</v>
      </c>
      <c r="CE44" s="153">
        <f t="shared" si="65"/>
        <v>0.92146314776239346</v>
      </c>
      <c r="CF44" s="5">
        <f t="shared" si="66"/>
        <v>92.14631477623935</v>
      </c>
      <c r="CG44">
        <f t="shared" si="102"/>
        <v>39.000000000000007</v>
      </c>
      <c r="CI44" s="59">
        <f t="shared" si="98"/>
        <v>-50</v>
      </c>
      <c r="CJ44">
        <f t="shared" si="99"/>
        <v>-50</v>
      </c>
    </row>
    <row r="45" spans="5:88" x14ac:dyDescent="0.25">
      <c r="E45" s="150">
        <v>40</v>
      </c>
      <c r="F45" s="191">
        <f t="shared" si="103"/>
        <v>4.0000000000000008E-2</v>
      </c>
      <c r="G45" s="191">
        <f t="shared" si="100"/>
        <v>4.0000000000000008E-2</v>
      </c>
      <c r="H45" s="191">
        <f t="shared" si="70"/>
        <v>0.80000000000000016</v>
      </c>
      <c r="I45" s="191">
        <f t="shared" si="104"/>
        <v>0.64000000000000012</v>
      </c>
      <c r="J45" s="472">
        <f t="shared" si="1"/>
        <v>20</v>
      </c>
      <c r="K45" s="386">
        <f t="shared" si="2"/>
        <v>20.32</v>
      </c>
      <c r="L45" s="386">
        <f t="shared" si="3"/>
        <v>40.32</v>
      </c>
      <c r="M45" s="386"/>
      <c r="N45" s="191">
        <f t="shared" si="4"/>
        <v>0.50396825396825395</v>
      </c>
      <c r="O45" s="152">
        <f t="shared" si="101"/>
        <v>1.8898809523809523</v>
      </c>
      <c r="P45" s="152">
        <f t="shared" si="71"/>
        <v>2.7214285714285715</v>
      </c>
      <c r="Q45" s="191">
        <f t="shared" si="6"/>
        <v>9.4494047619047616E-2</v>
      </c>
      <c r="R45" s="191">
        <f t="shared" si="72"/>
        <v>0.11811755952380952</v>
      </c>
      <c r="S45" s="386">
        <f t="shared" si="73"/>
        <v>20</v>
      </c>
      <c r="T45" s="191">
        <f t="shared" si="74"/>
        <v>0.31748031496063001</v>
      </c>
      <c r="U45" s="191">
        <f t="shared" si="10"/>
        <v>2.3811023622047252</v>
      </c>
      <c r="V45" s="191">
        <f t="shared" si="11"/>
        <v>2.3436046872093752</v>
      </c>
      <c r="W45" s="175">
        <f t="shared" si="12"/>
        <v>350</v>
      </c>
      <c r="X45" s="386">
        <f t="shared" si="52"/>
        <v>211.65333417317538</v>
      </c>
      <c r="Z45" s="191">
        <f t="shared" si="13"/>
        <v>0.19198790627362058</v>
      </c>
      <c r="AA45" s="153">
        <f t="shared" si="14"/>
        <v>1.4172335600907029</v>
      </c>
      <c r="AB45" s="153">
        <f t="shared" si="75"/>
        <v>4.7616048182941621E-2</v>
      </c>
      <c r="AC45" s="153"/>
      <c r="AD45" s="153">
        <f t="shared" si="16"/>
        <v>1.1072834645669289</v>
      </c>
      <c r="AE45" s="317">
        <f t="shared" si="76"/>
        <v>481.65925925925939</v>
      </c>
      <c r="AF45" s="463">
        <f t="shared" si="77"/>
        <v>2.9066190944881887E-2</v>
      </c>
      <c r="AH45" s="153">
        <f t="shared" si="78"/>
        <v>0.23421601750764801</v>
      </c>
      <c r="AI45" s="153">
        <f t="shared" si="79"/>
        <v>0.23421601750764801</v>
      </c>
      <c r="AJ45" s="153">
        <f t="shared" si="80"/>
        <v>1.2623822351908502</v>
      </c>
      <c r="AL45" s="317">
        <f t="shared" si="81"/>
        <v>40.000000000000007</v>
      </c>
      <c r="AM45" s="147">
        <f t="shared" si="82"/>
        <v>211.65333417317538</v>
      </c>
      <c r="AO45">
        <f t="shared" si="53"/>
        <v>40.000000000000007</v>
      </c>
      <c r="AP45" s="147">
        <f t="shared" si="24"/>
        <v>211.65333417317538</v>
      </c>
      <c r="AQ45" s="147"/>
      <c r="AR45" s="5">
        <f t="shared" si="54"/>
        <v>4.7247070494140999</v>
      </c>
      <c r="AS45" s="5">
        <f t="shared" si="25"/>
        <v>1.7566201313073599</v>
      </c>
      <c r="AT45" s="5">
        <f t="shared" si="55"/>
        <v>2.96808691810674</v>
      </c>
      <c r="AU45" s="153">
        <f t="shared" si="56"/>
        <v>0.3717945076669239</v>
      </c>
      <c r="AW45" s="5">
        <f t="shared" si="83"/>
        <v>1.7236920000000002</v>
      </c>
      <c r="AX45" s="5">
        <f t="shared" si="84"/>
        <v>2.877907200000001</v>
      </c>
      <c r="AY45" s="5">
        <f t="shared" si="85"/>
        <v>1.7372910952321905</v>
      </c>
      <c r="AZ45" s="5">
        <f t="shared" si="86"/>
        <v>2.1015750926338219</v>
      </c>
      <c r="BA45" s="5">
        <f t="shared" si="87"/>
        <v>0.23744695344853925</v>
      </c>
      <c r="BB45" s="147">
        <f t="shared" si="88"/>
        <v>23.984695344853925</v>
      </c>
      <c r="BC45" s="5"/>
      <c r="BD45" s="153">
        <f t="shared" si="57"/>
        <v>8.2453187568432923E-2</v>
      </c>
      <c r="BE45" s="153">
        <f t="shared" si="89"/>
        <v>0.10717829139111665</v>
      </c>
      <c r="BF45" s="153">
        <f t="shared" si="90"/>
        <v>0.10675798436605347</v>
      </c>
      <c r="BG45" s="153"/>
      <c r="BH45" s="463">
        <f t="shared" si="34"/>
        <v>2.3794848490683133E-3</v>
      </c>
      <c r="BI45" s="463">
        <f t="shared" si="35"/>
        <v>9.9938363660869133E-3</v>
      </c>
      <c r="BJ45" s="463">
        <f t="shared" si="36"/>
        <v>2.645666677164692E-3</v>
      </c>
      <c r="BK45" s="463">
        <f t="shared" si="37"/>
        <v>1.7204266666666662E-2</v>
      </c>
      <c r="BL45">
        <f t="shared" si="38"/>
        <v>5.7999999999999996E-3</v>
      </c>
      <c r="BM45">
        <f t="shared" si="91"/>
        <v>7.9370000314940762E-6</v>
      </c>
      <c r="BN45">
        <f t="shared" si="92"/>
        <v>3.836926669552071E-2</v>
      </c>
      <c r="BO45" s="147">
        <f t="shared" si="58"/>
        <v>38.369266695520707</v>
      </c>
      <c r="BP45" s="153">
        <f t="shared" si="93"/>
        <v>2.4056210215176604E-2</v>
      </c>
      <c r="BQ45" s="153">
        <f t="shared" si="94"/>
        <v>2.3987512160589527E-2</v>
      </c>
      <c r="BR45" s="463"/>
      <c r="BT45" s="147">
        <f t="shared" si="59"/>
        <v>48.04372237576613</v>
      </c>
      <c r="BU45" s="463">
        <f t="shared" si="43"/>
        <v>5.4388225121561459E-3</v>
      </c>
      <c r="BV45" s="463">
        <f t="shared" si="60"/>
        <v>9.1438001718332114E-3</v>
      </c>
      <c r="BW45" s="463">
        <f t="shared" si="95"/>
        <v>5.6986336129512586E-4</v>
      </c>
      <c r="BX45" s="463">
        <f t="shared" si="45"/>
        <v>0</v>
      </c>
      <c r="BY45" s="463">
        <f t="shared" si="96"/>
        <v>1.6991381304166744E-2</v>
      </c>
      <c r="BZ45" s="463">
        <f t="shared" si="61"/>
        <v>1.5152486045284484E-2</v>
      </c>
      <c r="CA45" s="549">
        <f t="shared" si="97"/>
        <v>1.7416045783392724E-2</v>
      </c>
      <c r="CB45" s="147">
        <f t="shared" si="62"/>
        <v>34.407427087559462</v>
      </c>
      <c r="CC45" s="153">
        <f t="shared" si="63"/>
        <v>0.12082041615884631</v>
      </c>
      <c r="CD45" s="5">
        <f t="shared" si="64"/>
        <v>1.4400000000000004</v>
      </c>
      <c r="CE45" s="153">
        <f t="shared" si="65"/>
        <v>0.92259172489799735</v>
      </c>
      <c r="CF45" s="5">
        <f t="shared" si="66"/>
        <v>92.259172489799738</v>
      </c>
      <c r="CG45">
        <f t="shared" si="102"/>
        <v>40.000000000000007</v>
      </c>
      <c r="CI45" s="59">
        <f t="shared" si="98"/>
        <v>-50</v>
      </c>
      <c r="CJ45">
        <f t="shared" si="99"/>
        <v>-50</v>
      </c>
    </row>
    <row r="46" spans="5:88" x14ac:dyDescent="0.25">
      <c r="E46" s="150">
        <v>41</v>
      </c>
      <c r="F46" s="191">
        <f t="shared" si="103"/>
        <v>4.1000000000000002E-2</v>
      </c>
      <c r="G46" s="191">
        <f t="shared" si="100"/>
        <v>4.1000000000000002E-2</v>
      </c>
      <c r="H46" s="191">
        <f t="shared" si="70"/>
        <v>0.82000000000000006</v>
      </c>
      <c r="I46" s="191">
        <f t="shared" si="104"/>
        <v>0.65600000000000003</v>
      </c>
      <c r="J46" s="472">
        <f t="shared" si="1"/>
        <v>20</v>
      </c>
      <c r="K46" s="386">
        <f t="shared" si="2"/>
        <v>20.32</v>
      </c>
      <c r="L46" s="386">
        <f t="shared" si="3"/>
        <v>40.32</v>
      </c>
      <c r="M46" s="386"/>
      <c r="N46" s="191">
        <f t="shared" si="4"/>
        <v>0.50396825396825395</v>
      </c>
      <c r="O46" s="152">
        <f t="shared" si="101"/>
        <v>1.8898809523809523</v>
      </c>
      <c r="P46" s="152">
        <f t="shared" si="71"/>
        <v>2.7214285714285715</v>
      </c>
      <c r="Q46" s="191">
        <f t="shared" si="6"/>
        <v>9.4494047619047616E-2</v>
      </c>
      <c r="R46" s="191">
        <f t="shared" si="72"/>
        <v>0.11811755952380952</v>
      </c>
      <c r="S46" s="386">
        <f t="shared" si="73"/>
        <v>20</v>
      </c>
      <c r="T46" s="191">
        <f t="shared" si="74"/>
        <v>0.32541732283464569</v>
      </c>
      <c r="U46" s="191">
        <f t="shared" si="10"/>
        <v>2.4406299212598421</v>
      </c>
      <c r="V46" s="191">
        <f t="shared" si="11"/>
        <v>2.4021948043896089</v>
      </c>
      <c r="W46" s="175">
        <f t="shared" si="12"/>
        <v>350</v>
      </c>
      <c r="X46" s="386">
        <f t="shared" si="52"/>
        <v>206.49105772992726</v>
      </c>
      <c r="Z46" s="191">
        <f t="shared" si="13"/>
        <v>0.19198790627362058</v>
      </c>
      <c r="AA46" s="153">
        <f t="shared" si="14"/>
        <v>1.4172335600907029</v>
      </c>
      <c r="AB46" s="153">
        <f t="shared" si="75"/>
        <v>4.7616048182941621E-2</v>
      </c>
      <c r="AC46" s="153"/>
      <c r="AD46" s="153">
        <f t="shared" si="16"/>
        <v>1.1072834645669289</v>
      </c>
      <c r="AE46" s="317">
        <f t="shared" si="76"/>
        <v>493.7007407407408</v>
      </c>
      <c r="AF46" s="463">
        <f t="shared" si="77"/>
        <v>2.9066190944881887E-2</v>
      </c>
      <c r="AH46" s="153">
        <f t="shared" si="78"/>
        <v>0.23712564481424492</v>
      </c>
      <c r="AI46" s="153">
        <f t="shared" si="79"/>
        <v>0.23712564481424492</v>
      </c>
      <c r="AJ46" s="153">
        <f t="shared" si="80"/>
        <v>1.2645375146772184</v>
      </c>
      <c r="AL46" s="317">
        <f t="shared" si="81"/>
        <v>41</v>
      </c>
      <c r="AM46" s="147">
        <f t="shared" si="82"/>
        <v>206.49105772992726</v>
      </c>
      <c r="AO46">
        <f t="shared" si="53"/>
        <v>41</v>
      </c>
      <c r="AP46" s="147">
        <f t="shared" si="24"/>
        <v>206.49105772992726</v>
      </c>
      <c r="AQ46" s="147"/>
      <c r="AR46" s="5">
        <f t="shared" si="54"/>
        <v>4.842824725649451</v>
      </c>
      <c r="AS46" s="5">
        <f t="shared" si="25"/>
        <v>1.7784423361068367</v>
      </c>
      <c r="AT46" s="5">
        <f t="shared" si="55"/>
        <v>3.0643823895426143</v>
      </c>
      <c r="AU46" s="153">
        <f t="shared" si="56"/>
        <v>0.36723243909438352</v>
      </c>
      <c r="AW46" s="5">
        <f t="shared" si="83"/>
        <v>1.7236920000000002</v>
      </c>
      <c r="AX46" s="5">
        <f t="shared" si="84"/>
        <v>3.0205262519999998</v>
      </c>
      <c r="AY46" s="5">
        <f t="shared" si="85"/>
        <v>1.7372910952321905</v>
      </c>
      <c r="AZ46" s="5">
        <f t="shared" si="86"/>
        <v>2.2059173316984082</v>
      </c>
      <c r="BA46" s="5">
        <f t="shared" si="87"/>
        <v>0.25127935594249434</v>
      </c>
      <c r="BB46" s="147">
        <f t="shared" si="88"/>
        <v>25.373935594249438</v>
      </c>
      <c r="BC46" s="5"/>
      <c r="BD46" s="153">
        <f t="shared" si="57"/>
        <v>8.296375801619052E-2</v>
      </c>
      <c r="BE46" s="153">
        <f t="shared" si="89"/>
        <v>0.10890303943732758</v>
      </c>
      <c r="BF46" s="153">
        <f t="shared" si="90"/>
        <v>0.1084759686944361</v>
      </c>
      <c r="BG46" s="153"/>
      <c r="BH46" s="463">
        <f t="shared" si="34"/>
        <v>2.4090448004591555E-3</v>
      </c>
      <c r="BI46" s="463">
        <f t="shared" si="35"/>
        <v>9.8712079628570319E-3</v>
      </c>
      <c r="BJ46" s="463">
        <f t="shared" si="36"/>
        <v>2.5811382216240908E-3</v>
      </c>
      <c r="BK46" s="463">
        <f t="shared" si="37"/>
        <v>1.6784650406504068E-2</v>
      </c>
      <c r="BL46">
        <f t="shared" si="38"/>
        <v>5.7999999999999996E-3</v>
      </c>
      <c r="BM46">
        <f t="shared" si="91"/>
        <v>7.7434146648722721E-6</v>
      </c>
      <c r="BN46">
        <f t="shared" si="92"/>
        <v>3.7795804908927137E-2</v>
      </c>
      <c r="BO46" s="147">
        <f t="shared" si="58"/>
        <v>37.795804908927138</v>
      </c>
      <c r="BP46" s="153">
        <f t="shared" si="93"/>
        <v>2.4722942206997729E-2</v>
      </c>
      <c r="BQ46" s="153">
        <f t="shared" si="94"/>
        <v>2.4652015339125959E-2</v>
      </c>
      <c r="BR46" s="463"/>
      <c r="BT46" s="147">
        <f t="shared" si="59"/>
        <v>49.374957546123682</v>
      </c>
      <c r="BU46" s="463">
        <f t="shared" si="43"/>
        <v>5.5063881153352137E-3</v>
      </c>
      <c r="BV46" s="463">
        <f t="shared" si="60"/>
        <v>9.4404581109557486E-3</v>
      </c>
      <c r="BW46" s="463">
        <f t="shared" si="95"/>
        <v>5.8835178920981412E-4</v>
      </c>
      <c r="BX46" s="463">
        <f t="shared" si="45"/>
        <v>0</v>
      </c>
      <c r="BY46" s="463">
        <f t="shared" si="96"/>
        <v>1.7421072962810452E-2</v>
      </c>
      <c r="BZ46" s="463">
        <f t="shared" si="61"/>
        <v>1.5535198015500776E-2</v>
      </c>
      <c r="CA46" s="549">
        <f t="shared" si="97"/>
        <v>1.7416045783392727E-2</v>
      </c>
      <c r="CB46" s="147">
        <f t="shared" si="62"/>
        <v>34.837118746203181</v>
      </c>
      <c r="CC46" s="153">
        <f t="shared" si="63"/>
        <v>0.12200788120125401</v>
      </c>
      <c r="CD46" s="5">
        <f t="shared" si="64"/>
        <v>1.476</v>
      </c>
      <c r="CE46" s="153">
        <f t="shared" si="65"/>
        <v>0.92365001284628323</v>
      </c>
      <c r="CF46" s="5">
        <f t="shared" si="66"/>
        <v>92.36500128462832</v>
      </c>
      <c r="CG46">
        <f t="shared" si="102"/>
        <v>41</v>
      </c>
      <c r="CI46" s="59">
        <f t="shared" si="98"/>
        <v>-50</v>
      </c>
      <c r="CJ46">
        <f t="shared" si="99"/>
        <v>-50</v>
      </c>
    </row>
    <row r="47" spans="5:88" x14ac:dyDescent="0.25">
      <c r="E47" s="150">
        <v>42</v>
      </c>
      <c r="F47" s="191">
        <f t="shared" si="103"/>
        <v>4.2000000000000003E-2</v>
      </c>
      <c r="G47" s="191">
        <f t="shared" si="100"/>
        <v>4.2000000000000003E-2</v>
      </c>
      <c r="H47" s="191">
        <f t="shared" si="70"/>
        <v>0.84000000000000008</v>
      </c>
      <c r="I47" s="191">
        <f t="shared" si="104"/>
        <v>0.67200000000000004</v>
      </c>
      <c r="J47" s="472">
        <f t="shared" si="1"/>
        <v>20</v>
      </c>
      <c r="K47" s="386">
        <f t="shared" si="2"/>
        <v>20.32</v>
      </c>
      <c r="L47" s="386">
        <f t="shared" si="3"/>
        <v>40.32</v>
      </c>
      <c r="M47" s="386"/>
      <c r="N47" s="191">
        <f t="shared" si="4"/>
        <v>0.50396825396825395</v>
      </c>
      <c r="O47" s="152">
        <f t="shared" si="101"/>
        <v>1.8898809523809523</v>
      </c>
      <c r="P47" s="152">
        <f t="shared" si="71"/>
        <v>2.7214285714285715</v>
      </c>
      <c r="Q47" s="191">
        <f t="shared" si="6"/>
        <v>9.4494047619047616E-2</v>
      </c>
      <c r="R47" s="191">
        <f t="shared" si="72"/>
        <v>0.11811755952380952</v>
      </c>
      <c r="S47" s="386">
        <f t="shared" si="73"/>
        <v>20</v>
      </c>
      <c r="T47" s="191">
        <f t="shared" si="74"/>
        <v>0.33335433070866144</v>
      </c>
      <c r="U47" s="191">
        <f t="shared" si="10"/>
        <v>2.5001574803149609</v>
      </c>
      <c r="V47" s="191">
        <f t="shared" si="11"/>
        <v>2.460784921569843</v>
      </c>
      <c r="W47" s="175">
        <f t="shared" si="12"/>
        <v>350</v>
      </c>
      <c r="X47" s="386">
        <f t="shared" si="52"/>
        <v>201.5746039744528</v>
      </c>
      <c r="Z47" s="191">
        <f t="shared" si="13"/>
        <v>0.19198790627362058</v>
      </c>
      <c r="AA47" s="153">
        <f t="shared" si="14"/>
        <v>1.4172335600907029</v>
      </c>
      <c r="AB47" s="153">
        <f t="shared" si="75"/>
        <v>4.7616048182941621E-2</v>
      </c>
      <c r="AC47" s="153"/>
      <c r="AD47" s="153">
        <f t="shared" si="16"/>
        <v>1.1072834645669289</v>
      </c>
      <c r="AE47" s="317">
        <f t="shared" si="76"/>
        <v>505.74222222222232</v>
      </c>
      <c r="AF47" s="463">
        <f t="shared" si="77"/>
        <v>2.9066190944881887E-2</v>
      </c>
      <c r="AH47" s="153">
        <f t="shared" si="78"/>
        <v>0.24000000000000002</v>
      </c>
      <c r="AI47" s="153">
        <f t="shared" si="79"/>
        <v>0.24000000000000002</v>
      </c>
      <c r="AJ47" s="153">
        <f t="shared" si="80"/>
        <v>1.2666666666666666</v>
      </c>
      <c r="AL47" s="317">
        <f t="shared" si="81"/>
        <v>42</v>
      </c>
      <c r="AM47" s="147">
        <f t="shared" si="82"/>
        <v>201.5746039744528</v>
      </c>
      <c r="AO47">
        <f t="shared" si="53"/>
        <v>42</v>
      </c>
      <c r="AP47" s="147">
        <f t="shared" si="24"/>
        <v>201.5746039744528</v>
      </c>
      <c r="AQ47" s="147"/>
      <c r="AR47" s="5">
        <f t="shared" si="54"/>
        <v>4.9609424018848038</v>
      </c>
      <c r="AS47" s="5">
        <f t="shared" si="25"/>
        <v>1.8</v>
      </c>
      <c r="AT47" s="5">
        <f t="shared" si="55"/>
        <v>3.160942401884804</v>
      </c>
      <c r="AU47" s="153">
        <f t="shared" si="56"/>
        <v>0.36283428715401506</v>
      </c>
      <c r="AW47" s="5">
        <f t="shared" si="83"/>
        <v>1.7236920000000002</v>
      </c>
      <c r="AX47" s="5">
        <f t="shared" si="84"/>
        <v>3.1665926880000002</v>
      </c>
      <c r="AY47" s="5">
        <f t="shared" si="85"/>
        <v>1.7372910952321905</v>
      </c>
      <c r="AZ47" s="5">
        <f t="shared" si="86"/>
        <v>2.3127865396287883</v>
      </c>
      <c r="BA47" s="5">
        <f t="shared" si="87"/>
        <v>0.26551916175832352</v>
      </c>
      <c r="BB47" s="147">
        <f t="shared" si="88"/>
        <v>26.803916175832356</v>
      </c>
      <c r="BC47" s="5"/>
      <c r="BD47" s="153">
        <f t="shared" si="57"/>
        <v>8.3465072415694286E-2</v>
      </c>
      <c r="BE47" s="153">
        <f t="shared" si="89"/>
        <v>0.11060552285778008</v>
      </c>
      <c r="BF47" s="153">
        <f t="shared" si="90"/>
        <v>0.1101717757093182</v>
      </c>
      <c r="BG47" s="153"/>
      <c r="BH47" s="463">
        <f t="shared" si="34"/>
        <v>2.4382464096749817E-3</v>
      </c>
      <c r="BI47" s="463">
        <f t="shared" si="35"/>
        <v>9.752985638699925E-3</v>
      </c>
      <c r="BJ47" s="463">
        <f t="shared" si="36"/>
        <v>2.51968254968066E-3</v>
      </c>
      <c r="BK47" s="463">
        <f t="shared" si="37"/>
        <v>1.6385015873015878E-2</v>
      </c>
      <c r="BL47">
        <f t="shared" si="38"/>
        <v>5.7999999999999996E-3</v>
      </c>
      <c r="BM47">
        <f t="shared" si="91"/>
        <v>7.5590476490419793E-6</v>
      </c>
      <c r="BN47">
        <f t="shared" si="92"/>
        <v>3.7249409671694891E-2</v>
      </c>
      <c r="BO47" s="147">
        <f t="shared" si="58"/>
        <v>37.249409671694892</v>
      </c>
      <c r="BP47" s="153">
        <f t="shared" si="93"/>
        <v>2.5390456408595191E-2</v>
      </c>
      <c r="BQ47" s="153">
        <f t="shared" si="94"/>
        <v>2.5317294604489463E-2</v>
      </c>
      <c r="BR47" s="463"/>
      <c r="BT47" s="147">
        <f t="shared" si="59"/>
        <v>50.707751013084653</v>
      </c>
      <c r="BU47" s="463">
        <f t="shared" si="43"/>
        <v>5.5731346506856733E-3</v>
      </c>
      <c r="BV47" s="463">
        <f t="shared" si="60"/>
        <v>9.7379310225677584E-3</v>
      </c>
      <c r="BW47" s="463">
        <f t="shared" si="95"/>
        <v>6.0689100814721589E-4</v>
      </c>
      <c r="BX47" s="463">
        <f t="shared" si="45"/>
        <v>0</v>
      </c>
      <c r="BY47" s="463">
        <f t="shared" si="96"/>
        <v>1.7850843399325283E-2</v>
      </c>
      <c r="BZ47" s="463">
        <f t="shared" si="61"/>
        <v>1.5917956681400648E-2</v>
      </c>
      <c r="CA47" s="549">
        <f t="shared" si="97"/>
        <v>1.7416045783392727E-2</v>
      </c>
      <c r="CB47" s="147">
        <f t="shared" si="62"/>
        <v>35.26688918271801</v>
      </c>
      <c r="CC47" s="153">
        <f t="shared" si="63"/>
        <v>0.12322404986749756</v>
      </c>
      <c r="CD47" s="5">
        <f t="shared" si="64"/>
        <v>1.512</v>
      </c>
      <c r="CE47" s="153">
        <f t="shared" si="65"/>
        <v>0.92464393495345032</v>
      </c>
      <c r="CF47" s="5">
        <f t="shared" si="66"/>
        <v>92.464393495345035</v>
      </c>
      <c r="CG47">
        <f t="shared" si="102"/>
        <v>42</v>
      </c>
      <c r="CI47" s="59">
        <f t="shared" si="98"/>
        <v>-50</v>
      </c>
      <c r="CJ47">
        <f t="shared" si="99"/>
        <v>-50</v>
      </c>
    </row>
    <row r="48" spans="5:88" x14ac:dyDescent="0.25">
      <c r="E48" s="150">
        <v>43</v>
      </c>
      <c r="F48" s="191">
        <f t="shared" si="103"/>
        <v>4.3000000000000003E-2</v>
      </c>
      <c r="G48" s="191">
        <f t="shared" si="100"/>
        <v>4.3000000000000003E-2</v>
      </c>
      <c r="H48" s="191">
        <f t="shared" si="70"/>
        <v>0.8600000000000001</v>
      </c>
      <c r="I48" s="191">
        <f t="shared" si="104"/>
        <v>0.68800000000000006</v>
      </c>
      <c r="J48" s="472">
        <f t="shared" si="1"/>
        <v>20</v>
      </c>
      <c r="K48" s="386">
        <f t="shared" si="2"/>
        <v>20.32</v>
      </c>
      <c r="L48" s="386">
        <f t="shared" si="3"/>
        <v>40.32</v>
      </c>
      <c r="M48" s="386"/>
      <c r="N48" s="191">
        <f t="shared" si="4"/>
        <v>0.50396825396825395</v>
      </c>
      <c r="O48" s="152">
        <f t="shared" si="101"/>
        <v>1.8898809523809523</v>
      </c>
      <c r="P48" s="152">
        <f t="shared" si="71"/>
        <v>2.7214285714285715</v>
      </c>
      <c r="Q48" s="191">
        <f t="shared" si="6"/>
        <v>9.4494047619047616E-2</v>
      </c>
      <c r="R48" s="191">
        <f t="shared" si="72"/>
        <v>0.11811755952380952</v>
      </c>
      <c r="S48" s="386">
        <f t="shared" si="73"/>
        <v>20</v>
      </c>
      <c r="T48" s="191">
        <f t="shared" si="74"/>
        <v>0.34129133858267718</v>
      </c>
      <c r="U48" s="191">
        <f t="shared" si="10"/>
        <v>2.5596850393700787</v>
      </c>
      <c r="V48" s="191">
        <f t="shared" si="11"/>
        <v>2.5193750387500775</v>
      </c>
      <c r="W48" s="175">
        <f t="shared" si="12"/>
        <v>350</v>
      </c>
      <c r="X48" s="386">
        <f t="shared" si="52"/>
        <v>196.88682248667484</v>
      </c>
      <c r="Z48" s="191">
        <f t="shared" si="13"/>
        <v>0.19198790627362058</v>
      </c>
      <c r="AA48" s="153">
        <f t="shared" si="14"/>
        <v>1.4172335600907029</v>
      </c>
      <c r="AB48" s="153">
        <f t="shared" si="75"/>
        <v>4.7616048182941621E-2</v>
      </c>
      <c r="AC48" s="153"/>
      <c r="AD48" s="153">
        <f t="shared" si="16"/>
        <v>1.1072834645669289</v>
      </c>
      <c r="AE48" s="317">
        <f t="shared" si="76"/>
        <v>517.78370370370374</v>
      </c>
      <c r="AF48" s="463">
        <f t="shared" si="77"/>
        <v>2.9066190944881887E-2</v>
      </c>
      <c r="AH48" s="153">
        <f t="shared" si="78"/>
        <v>0.24284033555286605</v>
      </c>
      <c r="AI48" s="153">
        <f t="shared" si="79"/>
        <v>0.24284033555286605</v>
      </c>
      <c r="AJ48" s="153">
        <f t="shared" si="80"/>
        <v>1.2687706189280488</v>
      </c>
      <c r="AL48" s="317">
        <f t="shared" si="81"/>
        <v>43</v>
      </c>
      <c r="AM48" s="147">
        <f t="shared" si="82"/>
        <v>196.88682248667484</v>
      </c>
      <c r="AO48">
        <f t="shared" si="53"/>
        <v>43</v>
      </c>
      <c r="AP48" s="147">
        <f t="shared" si="24"/>
        <v>196.88682248667484</v>
      </c>
      <c r="AQ48" s="147"/>
      <c r="AR48" s="5">
        <f t="shared" si="54"/>
        <v>5.0790600781201558</v>
      </c>
      <c r="AS48" s="5">
        <f t="shared" si="25"/>
        <v>1.8213025166464949</v>
      </c>
      <c r="AT48" s="5">
        <f t="shared" si="55"/>
        <v>3.2577575614736611</v>
      </c>
      <c r="AU48" s="153">
        <f t="shared" si="56"/>
        <v>0.35859046528951261</v>
      </c>
      <c r="AW48" s="5">
        <f t="shared" si="83"/>
        <v>1.7236920000000002</v>
      </c>
      <c r="AX48" s="5">
        <f t="shared" si="84"/>
        <v>3.3161065080000003</v>
      </c>
      <c r="AY48" s="5">
        <f t="shared" si="85"/>
        <v>1.7372910952321905</v>
      </c>
      <c r="AZ48" s="5">
        <f t="shared" si="86"/>
        <v>2.4221827164249601</v>
      </c>
      <c r="BA48" s="5">
        <f t="shared" si="87"/>
        <v>0.28016715028673483</v>
      </c>
      <c r="BB48" s="147">
        <f t="shared" si="88"/>
        <v>28.274715028673487</v>
      </c>
      <c r="BC48" s="5"/>
      <c r="BD48" s="153">
        <f t="shared" si="57"/>
        <v>8.3957513084924551E-2</v>
      </c>
      <c r="BE48" s="153">
        <f t="shared" si="89"/>
        <v>0.11228659249321613</v>
      </c>
      <c r="BF48" s="153">
        <f t="shared" si="90"/>
        <v>0.11184625291481137</v>
      </c>
      <c r="BG48" s="153"/>
      <c r="BH48" s="463">
        <f t="shared" si="34"/>
        <v>2.4671024011918468E-3</v>
      </c>
      <c r="BI48" s="463">
        <f t="shared" si="35"/>
        <v>9.6389117069821013E-3</v>
      </c>
      <c r="BJ48" s="463">
        <f t="shared" si="36"/>
        <v>2.4610852810834356E-3</v>
      </c>
      <c r="BK48" s="463">
        <f t="shared" si="37"/>
        <v>1.6003968992248065E-2</v>
      </c>
      <c r="BL48">
        <f t="shared" si="38"/>
        <v>5.7999999999999996E-3</v>
      </c>
      <c r="BM48">
        <f t="shared" si="91"/>
        <v>7.383255843250306E-6</v>
      </c>
      <c r="BN48">
        <f t="shared" si="92"/>
        <v>3.6728228430961726E-2</v>
      </c>
      <c r="BO48" s="147">
        <f t="shared" si="58"/>
        <v>36.728228430961728</v>
      </c>
      <c r="BP48" s="153">
        <f t="shared" si="93"/>
        <v>2.6058725044255514E-2</v>
      </c>
      <c r="BQ48" s="153">
        <f t="shared" si="94"/>
        <v>2.5983322398388145E-2</v>
      </c>
      <c r="BR48" s="463"/>
      <c r="BT48" s="147">
        <f t="shared" si="59"/>
        <v>52.042047442643657</v>
      </c>
      <c r="BU48" s="463">
        <f t="shared" si="43"/>
        <v>5.6390912027242217E-3</v>
      </c>
      <c r="BV48" s="463">
        <f t="shared" si="60"/>
        <v>1.0036189967575113E-2</v>
      </c>
      <c r="BW48" s="463">
        <f t="shared" si="95"/>
        <v>6.2547921455419762E-4</v>
      </c>
      <c r="BX48" s="463">
        <f t="shared" si="45"/>
        <v>0</v>
      </c>
      <c r="BY48" s="463">
        <f t="shared" si="96"/>
        <v>1.8280690763820811E-2</v>
      </c>
      <c r="BZ48" s="463">
        <f t="shared" si="61"/>
        <v>1.6300760384853535E-2</v>
      </c>
      <c r="CA48" s="549">
        <f t="shared" si="97"/>
        <v>1.7416045783392724E-2</v>
      </c>
      <c r="CB48" s="147">
        <f t="shared" si="62"/>
        <v>35.696736547213533</v>
      </c>
      <c r="CC48" s="153">
        <f t="shared" si="63"/>
        <v>0.12446701242081892</v>
      </c>
      <c r="CD48" s="5">
        <f t="shared" si="64"/>
        <v>1.548</v>
      </c>
      <c r="CE48" s="153">
        <f t="shared" si="65"/>
        <v>0.92557879378400498</v>
      </c>
      <c r="CF48" s="5">
        <f t="shared" si="66"/>
        <v>92.5578793784005</v>
      </c>
      <c r="CG48">
        <f t="shared" si="102"/>
        <v>43</v>
      </c>
      <c r="CI48" s="59">
        <f t="shared" si="98"/>
        <v>-50</v>
      </c>
      <c r="CJ48">
        <f t="shared" si="99"/>
        <v>-50</v>
      </c>
    </row>
    <row r="49" spans="5:88" x14ac:dyDescent="0.25">
      <c r="E49" s="150">
        <v>44</v>
      </c>
      <c r="F49" s="191">
        <f t="shared" si="103"/>
        <v>4.4000000000000004E-2</v>
      </c>
      <c r="G49" s="191">
        <f t="shared" si="100"/>
        <v>4.4000000000000004E-2</v>
      </c>
      <c r="H49" s="191">
        <f t="shared" si="70"/>
        <v>0.88000000000000012</v>
      </c>
      <c r="I49" s="191">
        <f t="shared" si="104"/>
        <v>0.70400000000000007</v>
      </c>
      <c r="J49" s="472">
        <f t="shared" si="1"/>
        <v>20</v>
      </c>
      <c r="K49" s="386">
        <f t="shared" si="2"/>
        <v>20.32</v>
      </c>
      <c r="L49" s="386">
        <f t="shared" si="3"/>
        <v>40.32</v>
      </c>
      <c r="M49" s="386"/>
      <c r="N49" s="191">
        <f t="shared" si="4"/>
        <v>0.50396825396825395</v>
      </c>
      <c r="O49" s="152">
        <f t="shared" si="101"/>
        <v>1.8898809523809523</v>
      </c>
      <c r="P49" s="152">
        <f t="shared" si="71"/>
        <v>2.7214285714285715</v>
      </c>
      <c r="Q49" s="191">
        <f t="shared" si="6"/>
        <v>9.4494047619047616E-2</v>
      </c>
      <c r="R49" s="191">
        <f t="shared" si="72"/>
        <v>0.11811755952380952</v>
      </c>
      <c r="S49" s="386">
        <f t="shared" si="73"/>
        <v>20</v>
      </c>
      <c r="T49" s="191">
        <f t="shared" si="74"/>
        <v>0.34922834645669293</v>
      </c>
      <c r="U49" s="191">
        <f t="shared" si="10"/>
        <v>2.6192125984251966</v>
      </c>
      <c r="V49" s="191">
        <f t="shared" si="11"/>
        <v>2.5779651559303116</v>
      </c>
      <c r="W49" s="175">
        <f t="shared" si="12"/>
        <v>350</v>
      </c>
      <c r="X49" s="386">
        <f t="shared" si="52"/>
        <v>192.41212197561407</v>
      </c>
      <c r="Z49" s="191">
        <f t="shared" si="13"/>
        <v>0.19198790627362058</v>
      </c>
      <c r="AA49" s="153">
        <f t="shared" si="14"/>
        <v>1.4172335600907029</v>
      </c>
      <c r="AB49" s="153">
        <f t="shared" si="75"/>
        <v>4.7616048182941621E-2</v>
      </c>
      <c r="AC49" s="153"/>
      <c r="AD49" s="153">
        <f t="shared" si="16"/>
        <v>1.1072834645669289</v>
      </c>
      <c r="AE49" s="317">
        <f t="shared" si="76"/>
        <v>529.82518518518532</v>
      </c>
      <c r="AF49" s="463">
        <f t="shared" si="77"/>
        <v>2.9066190944881887E-2</v>
      </c>
      <c r="AH49" s="153">
        <f t="shared" si="78"/>
        <v>0.24564783154519634</v>
      </c>
      <c r="AI49" s="153">
        <f t="shared" si="79"/>
        <v>0.24564783154519634</v>
      </c>
      <c r="AJ49" s="153">
        <f t="shared" si="80"/>
        <v>1.2708502455890343</v>
      </c>
      <c r="AL49" s="317">
        <f t="shared" si="81"/>
        <v>44.000000000000007</v>
      </c>
      <c r="AM49" s="147">
        <f t="shared" si="82"/>
        <v>192.41212197561407</v>
      </c>
      <c r="AO49">
        <f t="shared" si="53"/>
        <v>44.000000000000007</v>
      </c>
      <c r="AP49" s="147">
        <f t="shared" si="24"/>
        <v>192.41212197561407</v>
      </c>
      <c r="AQ49" s="147"/>
      <c r="AR49" s="5">
        <f t="shared" si="54"/>
        <v>5.1971777543555078</v>
      </c>
      <c r="AS49" s="5">
        <f t="shared" si="25"/>
        <v>1.8423587365889724</v>
      </c>
      <c r="AT49" s="5">
        <f t="shared" si="55"/>
        <v>3.3548190177665353</v>
      </c>
      <c r="AU49" s="153">
        <f t="shared" si="56"/>
        <v>0.35449215394739558</v>
      </c>
      <c r="AW49" s="5">
        <f t="shared" si="83"/>
        <v>1.7236920000000002</v>
      </c>
      <c r="AX49" s="5">
        <f t="shared" si="84"/>
        <v>3.4690677120000006</v>
      </c>
      <c r="AY49" s="5">
        <f t="shared" si="85"/>
        <v>1.7372910952321905</v>
      </c>
      <c r="AZ49" s="5">
        <f t="shared" si="86"/>
        <v>2.5341058620869243</v>
      </c>
      <c r="BA49" s="5">
        <f t="shared" si="87"/>
        <v>0.29522407356345509</v>
      </c>
      <c r="BB49" s="147">
        <f t="shared" si="88"/>
        <v>29.786407356345517</v>
      </c>
      <c r="BC49" s="5"/>
      <c r="BD49" s="153">
        <f t="shared" si="57"/>
        <v>8.4441438097479574E-2</v>
      </c>
      <c r="BE49" s="153">
        <f t="shared" si="89"/>
        <v>0.11394704579898177</v>
      </c>
      <c r="BF49" s="153">
        <f t="shared" si="90"/>
        <v>0.11350019463898575</v>
      </c>
      <c r="BG49" s="153"/>
      <c r="BH49" s="463">
        <f t="shared" si="34"/>
        <v>2.4956247637896662E-3</v>
      </c>
      <c r="BI49" s="463">
        <f t="shared" si="35"/>
        <v>9.5287490981059951E-3</v>
      </c>
      <c r="BJ49" s="463">
        <f t="shared" si="36"/>
        <v>2.4051515246951757E-3</v>
      </c>
      <c r="BK49" s="463">
        <f t="shared" si="37"/>
        <v>1.5640242424242428E-2</v>
      </c>
      <c r="BL49">
        <f t="shared" si="38"/>
        <v>5.7999999999999996E-3</v>
      </c>
      <c r="BM49">
        <f t="shared" si="91"/>
        <v>7.215454574085527E-6</v>
      </c>
      <c r="BN49">
        <f t="shared" si="92"/>
        <v>3.623057471466011E-2</v>
      </c>
      <c r="BO49" s="147">
        <f t="shared" si="58"/>
        <v>36.230574714660108</v>
      </c>
      <c r="BP49" s="153">
        <f t="shared" si="93"/>
        <v>2.6727721944184851E-2</v>
      </c>
      <c r="BQ49" s="153">
        <f t="shared" si="94"/>
        <v>2.6650072755878967E-2</v>
      </c>
      <c r="BR49" s="463"/>
      <c r="BT49" s="147">
        <f t="shared" si="59"/>
        <v>53.377794700063816</v>
      </c>
      <c r="BU49" s="463">
        <f t="shared" si="43"/>
        <v>5.7042851743763804E-3</v>
      </c>
      <c r="BV49" s="463">
        <f t="shared" si="60"/>
        <v>1.0335207680066938E-2</v>
      </c>
      <c r="BW49" s="463">
        <f t="shared" si="95"/>
        <v>6.4411470915438256E-4</v>
      </c>
      <c r="BX49" s="463">
        <f t="shared" si="45"/>
        <v>0</v>
      </c>
      <c r="BY49" s="463">
        <f t="shared" si="96"/>
        <v>1.8710613313613306E-2</v>
      </c>
      <c r="BZ49" s="463">
        <f t="shared" si="61"/>
        <v>1.6683607563597699E-2</v>
      </c>
      <c r="CA49" s="549">
        <f t="shared" si="97"/>
        <v>1.7416045783392731E-2</v>
      </c>
      <c r="CB49" s="147">
        <f t="shared" si="62"/>
        <v>36.126659097006034</v>
      </c>
      <c r="CC49" s="153">
        <f t="shared" si="63"/>
        <v>0.12573502851172996</v>
      </c>
      <c r="CD49" s="5">
        <f t="shared" si="64"/>
        <v>1.5840000000000001</v>
      </c>
      <c r="CE49" s="153">
        <f t="shared" si="65"/>
        <v>0.92645934813584629</v>
      </c>
      <c r="CF49" s="5">
        <f t="shared" si="66"/>
        <v>92.645934813584631</v>
      </c>
      <c r="CG49">
        <f t="shared" si="102"/>
        <v>44</v>
      </c>
      <c r="CI49" s="59">
        <f t="shared" si="98"/>
        <v>-50</v>
      </c>
      <c r="CJ49">
        <f t="shared" si="99"/>
        <v>-50</v>
      </c>
    </row>
    <row r="50" spans="5:88" x14ac:dyDescent="0.25">
      <c r="E50" s="150">
        <v>45</v>
      </c>
      <c r="F50" s="191">
        <f t="shared" si="103"/>
        <v>4.5000000000000005E-2</v>
      </c>
      <c r="G50" s="191">
        <f t="shared" si="100"/>
        <v>4.5000000000000005E-2</v>
      </c>
      <c r="H50" s="191">
        <f t="shared" si="70"/>
        <v>0.90000000000000013</v>
      </c>
      <c r="I50" s="191">
        <f t="shared" si="104"/>
        <v>0.72000000000000008</v>
      </c>
      <c r="J50" s="472">
        <f t="shared" si="1"/>
        <v>20</v>
      </c>
      <c r="K50" s="386">
        <f t="shared" si="2"/>
        <v>20.32</v>
      </c>
      <c r="L50" s="386">
        <f t="shared" si="3"/>
        <v>40.32</v>
      </c>
      <c r="M50" s="386"/>
      <c r="N50" s="191">
        <f t="shared" si="4"/>
        <v>0.50396825396825395</v>
      </c>
      <c r="O50" s="152">
        <f t="shared" si="101"/>
        <v>1.8898809523809523</v>
      </c>
      <c r="P50" s="152">
        <f t="shared" si="71"/>
        <v>2.7214285714285715</v>
      </c>
      <c r="Q50" s="191">
        <f t="shared" si="6"/>
        <v>9.4494047619047616E-2</v>
      </c>
      <c r="R50" s="191">
        <f t="shared" si="72"/>
        <v>0.11811755952380952</v>
      </c>
      <c r="S50" s="386">
        <f t="shared" si="73"/>
        <v>20</v>
      </c>
      <c r="T50" s="191">
        <f t="shared" si="74"/>
        <v>0.35716535433070867</v>
      </c>
      <c r="U50" s="191">
        <f t="shared" si="10"/>
        <v>2.6787401574803149</v>
      </c>
      <c r="V50" s="191">
        <f t="shared" si="11"/>
        <v>2.6365552731105462</v>
      </c>
      <c r="W50" s="175">
        <f t="shared" si="12"/>
        <v>350</v>
      </c>
      <c r="X50" s="386">
        <f t="shared" si="52"/>
        <v>188.1362970428226</v>
      </c>
      <c r="Z50" s="191">
        <f t="shared" si="13"/>
        <v>0.19198790627362058</v>
      </c>
      <c r="AA50" s="153">
        <f t="shared" si="14"/>
        <v>1.4172335600907029</v>
      </c>
      <c r="AB50" s="153">
        <f t="shared" si="75"/>
        <v>4.7616048182941621E-2</v>
      </c>
      <c r="AC50" s="153"/>
      <c r="AD50" s="153">
        <f t="shared" si="16"/>
        <v>1.1072834645669289</v>
      </c>
      <c r="AE50" s="317">
        <f t="shared" si="76"/>
        <v>541.86666666666679</v>
      </c>
      <c r="AF50" s="463">
        <f t="shared" si="77"/>
        <v>2.9066190944881887E-2</v>
      </c>
      <c r="AH50" s="153">
        <f t="shared" si="78"/>
        <v>0.24842360136324754</v>
      </c>
      <c r="AI50" s="153">
        <f t="shared" si="79"/>
        <v>0.24842360136324754</v>
      </c>
      <c r="AJ50" s="153">
        <f t="shared" si="80"/>
        <v>1.2729063713801834</v>
      </c>
      <c r="AL50" s="317">
        <f t="shared" si="81"/>
        <v>45.000000000000007</v>
      </c>
      <c r="AM50" s="147">
        <f t="shared" si="82"/>
        <v>188.1362970428226</v>
      </c>
      <c r="AO50">
        <f t="shared" si="53"/>
        <v>45.000000000000007</v>
      </c>
      <c r="AP50" s="147">
        <f t="shared" si="24"/>
        <v>188.1362970428226</v>
      </c>
      <c r="AQ50" s="147"/>
      <c r="AR50" s="5">
        <f t="shared" si="54"/>
        <v>5.3152954305908615</v>
      </c>
      <c r="AS50" s="5">
        <f t="shared" si="25"/>
        <v>1.8631770102243561</v>
      </c>
      <c r="AT50" s="5">
        <f t="shared" si="55"/>
        <v>3.4521184203665056</v>
      </c>
      <c r="AU50" s="153">
        <f t="shared" si="56"/>
        <v>0.35053122343892756</v>
      </c>
      <c r="AW50" s="5">
        <f t="shared" si="83"/>
        <v>1.7236920000000002</v>
      </c>
      <c r="AX50" s="5">
        <f t="shared" si="84"/>
        <v>3.6254762999999999</v>
      </c>
      <c r="AY50" s="5">
        <f t="shared" si="85"/>
        <v>1.7372910952321905</v>
      </c>
      <c r="AZ50" s="5">
        <f t="shared" si="86"/>
        <v>2.6485559766146802</v>
      </c>
      <c r="BA50" s="5">
        <f t="shared" si="87"/>
        <v>0.3106906578329855</v>
      </c>
      <c r="BB50" s="147">
        <f t="shared" si="88"/>
        <v>31.339065783298551</v>
      </c>
      <c r="BC50" s="5"/>
      <c r="BD50" s="153">
        <f t="shared" si="57"/>
        <v>8.4917183331934459E-2</v>
      </c>
      <c r="BE50" s="153">
        <f t="shared" si="89"/>
        <v>0.11558763145942219</v>
      </c>
      <c r="BF50" s="153">
        <f t="shared" si="90"/>
        <v>0.11513434663016958</v>
      </c>
      <c r="BG50" s="153"/>
      <c r="BH50" s="463">
        <f t="shared" si="34"/>
        <v>2.5238248087602784E-3</v>
      </c>
      <c r="BI50" s="463">
        <f t="shared" si="35"/>
        <v>9.4222792860383757E-3</v>
      </c>
      <c r="BJ50" s="463">
        <f t="shared" si="36"/>
        <v>2.3517037130352824E-3</v>
      </c>
      <c r="BK50" s="463">
        <f t="shared" si="37"/>
        <v>1.5292681481481484E-2</v>
      </c>
      <c r="BL50">
        <f t="shared" si="38"/>
        <v>5.7999999999999996E-3</v>
      </c>
      <c r="BM50">
        <f t="shared" si="91"/>
        <v>7.0551111391058472E-6</v>
      </c>
      <c r="BN50">
        <f t="shared" si="92"/>
        <v>3.5754909868856849E-2</v>
      </c>
      <c r="BO50" s="147">
        <f t="shared" si="58"/>
        <v>35.754909868856849</v>
      </c>
      <c r="BP50" s="153">
        <f t="shared" si="93"/>
        <v>2.7397422417449E-2</v>
      </c>
      <c r="BQ50" s="153">
        <f t="shared" si="94"/>
        <v>2.7317521179302421E-2</v>
      </c>
      <c r="BR50" s="463"/>
      <c r="BT50" s="147">
        <f t="shared" si="59"/>
        <v>54.714943596751418</v>
      </c>
      <c r="BU50" s="463">
        <f t="shared" si="43"/>
        <v>5.7687424200234946E-3</v>
      </c>
      <c r="BV50" s="463">
        <f t="shared" si="60"/>
        <v>1.0634958434933769E-2</v>
      </c>
      <c r="BW50" s="463">
        <f t="shared" si="95"/>
        <v>6.6279588869780218E-4</v>
      </c>
      <c r="BX50" s="463">
        <f t="shared" si="45"/>
        <v>0</v>
      </c>
      <c r="BY50" s="463">
        <f t="shared" si="96"/>
        <v>1.9140609404739883E-2</v>
      </c>
      <c r="BZ50" s="463">
        <f t="shared" si="61"/>
        <v>1.7066496743655069E-2</v>
      </c>
      <c r="CA50" s="549">
        <f t="shared" si="97"/>
        <v>1.7416045783392724E-2</v>
      </c>
      <c r="CB50" s="147">
        <f t="shared" si="62"/>
        <v>36.556655188132609</v>
      </c>
      <c r="CC50" s="153">
        <f t="shared" si="63"/>
        <v>0.12702650865374088</v>
      </c>
      <c r="CD50" s="5">
        <f t="shared" si="64"/>
        <v>1.62</v>
      </c>
      <c r="CE50" s="153">
        <f t="shared" si="65"/>
        <v>0.92728987910342164</v>
      </c>
      <c r="CF50" s="5">
        <f t="shared" si="66"/>
        <v>92.72898791034217</v>
      </c>
      <c r="CG50">
        <f t="shared" si="102"/>
        <v>45</v>
      </c>
      <c r="CI50" s="59">
        <f t="shared" si="98"/>
        <v>-50</v>
      </c>
      <c r="CJ50">
        <f t="shared" si="99"/>
        <v>-50</v>
      </c>
    </row>
    <row r="51" spans="5:88" x14ac:dyDescent="0.25">
      <c r="E51" s="150">
        <v>46</v>
      </c>
      <c r="F51" s="191">
        <f t="shared" si="103"/>
        <v>4.6000000000000006E-2</v>
      </c>
      <c r="G51" s="191">
        <f t="shared" si="100"/>
        <v>4.6000000000000006E-2</v>
      </c>
      <c r="H51" s="191">
        <f t="shared" si="70"/>
        <v>0.92000000000000015</v>
      </c>
      <c r="I51" s="191">
        <f t="shared" si="104"/>
        <v>0.7360000000000001</v>
      </c>
      <c r="J51" s="472">
        <f t="shared" si="1"/>
        <v>20</v>
      </c>
      <c r="K51" s="386">
        <f t="shared" si="2"/>
        <v>20.32</v>
      </c>
      <c r="L51" s="386">
        <f t="shared" si="3"/>
        <v>40.32</v>
      </c>
      <c r="M51" s="386"/>
      <c r="N51" s="191">
        <f t="shared" si="4"/>
        <v>0.50396825396825395</v>
      </c>
      <c r="O51" s="152">
        <f t="shared" si="101"/>
        <v>1.8898809523809523</v>
      </c>
      <c r="P51" s="152">
        <f t="shared" si="71"/>
        <v>2.7214285714285715</v>
      </c>
      <c r="Q51" s="191">
        <f t="shared" si="6"/>
        <v>9.4494047619047616E-2</v>
      </c>
      <c r="R51" s="191">
        <f t="shared" si="72"/>
        <v>0.11811755952380952</v>
      </c>
      <c r="S51" s="386">
        <f t="shared" si="73"/>
        <v>20</v>
      </c>
      <c r="T51" s="191">
        <f t="shared" si="74"/>
        <v>0.36510236220472447</v>
      </c>
      <c r="U51" s="191">
        <f t="shared" si="10"/>
        <v>2.7382677165354337</v>
      </c>
      <c r="V51" s="191">
        <f t="shared" si="11"/>
        <v>2.6951453902907807</v>
      </c>
      <c r="W51" s="175">
        <f t="shared" si="12"/>
        <v>350</v>
      </c>
      <c r="X51" s="386">
        <f t="shared" si="52"/>
        <v>184.04637754189164</v>
      </c>
      <c r="Z51" s="191">
        <f t="shared" si="13"/>
        <v>0.19198790627362058</v>
      </c>
      <c r="AA51" s="153">
        <f t="shared" si="14"/>
        <v>1.4172335600907029</v>
      </c>
      <c r="AB51" s="153">
        <f t="shared" si="75"/>
        <v>4.7616048182941621E-2</v>
      </c>
      <c r="AC51" s="153"/>
      <c r="AD51" s="153">
        <f t="shared" si="16"/>
        <v>1.1072834645669289</v>
      </c>
      <c r="AE51" s="317">
        <f t="shared" si="76"/>
        <v>553.90814814814837</v>
      </c>
      <c r="AF51" s="463">
        <f t="shared" si="77"/>
        <v>2.9066190944881887E-2</v>
      </c>
      <c r="AH51" s="153">
        <f t="shared" si="78"/>
        <v>0.25116869686669613</v>
      </c>
      <c r="AI51" s="153">
        <f t="shared" si="79"/>
        <v>0.25116869686669613</v>
      </c>
      <c r="AJ51" s="153">
        <f t="shared" si="80"/>
        <v>1.2749397754568119</v>
      </c>
      <c r="AL51" s="317">
        <f t="shared" si="81"/>
        <v>46.000000000000007</v>
      </c>
      <c r="AM51" s="147">
        <f t="shared" si="82"/>
        <v>184.04637754189164</v>
      </c>
      <c r="AO51">
        <f t="shared" si="53"/>
        <v>46.000000000000007</v>
      </c>
      <c r="AP51" s="147">
        <f t="shared" si="24"/>
        <v>184.04637754189164</v>
      </c>
      <c r="AQ51" s="147"/>
      <c r="AR51" s="5">
        <f t="shared" si="54"/>
        <v>5.4334131068262153</v>
      </c>
      <c r="AS51" s="5">
        <f t="shared" si="25"/>
        <v>1.8837652265002209</v>
      </c>
      <c r="AT51" s="5">
        <f t="shared" si="55"/>
        <v>3.5496478803259945</v>
      </c>
      <c r="AU51" s="153">
        <f t="shared" si="56"/>
        <v>0.3467001660767467</v>
      </c>
      <c r="AW51" s="5">
        <f t="shared" si="83"/>
        <v>1.7236920000000002</v>
      </c>
      <c r="AX51" s="5">
        <f t="shared" si="84"/>
        <v>3.7853322720000007</v>
      </c>
      <c r="AY51" s="5">
        <f t="shared" si="85"/>
        <v>1.7372910952321905</v>
      </c>
      <c r="AZ51" s="5">
        <f t="shared" si="86"/>
        <v>2.7655330600082295</v>
      </c>
      <c r="BA51" s="5">
        <f t="shared" si="87"/>
        <v>0.32656760498999149</v>
      </c>
      <c r="BB51" s="147">
        <f t="shared" si="88"/>
        <v>32.932760498999151</v>
      </c>
      <c r="BC51" s="5"/>
      <c r="BD51" s="153">
        <f t="shared" si="57"/>
        <v>8.5385064306601338E-2</v>
      </c>
      <c r="BE51" s="153">
        <f t="shared" si="89"/>
        <v>0.11720905349813633</v>
      </c>
      <c r="BF51" s="153">
        <f t="shared" si="90"/>
        <v>0.11674941015108482</v>
      </c>
      <c r="BG51" s="153"/>
      <c r="BH51" s="463">
        <f t="shared" si="34"/>
        <v>2.5517132223248562E-3</v>
      </c>
      <c r="BI51" s="463">
        <f t="shared" si="35"/>
        <v>9.3193004641429506E-3</v>
      </c>
      <c r="BJ51" s="463">
        <f t="shared" si="36"/>
        <v>2.3005797192736455E-3</v>
      </c>
      <c r="BK51" s="463">
        <f t="shared" si="37"/>
        <v>1.496023188405797E-2</v>
      </c>
      <c r="BL51">
        <f t="shared" si="38"/>
        <v>5.7999999999999996E-3</v>
      </c>
      <c r="BM51">
        <f t="shared" si="91"/>
        <v>6.9017391578209367E-6</v>
      </c>
      <c r="BN51">
        <f t="shared" si="92"/>
        <v>3.5299827158058676E-2</v>
      </c>
      <c r="BO51" s="147">
        <f t="shared" si="58"/>
        <v>35.299827158058676</v>
      </c>
      <c r="BP51" s="153">
        <f t="shared" si="93"/>
        <v>2.8067803137553748E-2</v>
      </c>
      <c r="BQ51" s="153">
        <f t="shared" si="94"/>
        <v>2.7985644524758442E-2</v>
      </c>
      <c r="BR51" s="463"/>
      <c r="BT51" s="147">
        <f t="shared" si="59"/>
        <v>56.053447662312188</v>
      </c>
      <c r="BU51" s="463">
        <f t="shared" si="43"/>
        <v>5.832487365313957E-3</v>
      </c>
      <c r="BV51" s="463">
        <f t="shared" si="60"/>
        <v>1.0935417928655473E-2</v>
      </c>
      <c r="BW51" s="463">
        <f t="shared" si="95"/>
        <v>6.8152123853131149E-4</v>
      </c>
      <c r="BX51" s="463">
        <f t="shared" si="45"/>
        <v>0</v>
      </c>
      <c r="BY51" s="463">
        <f t="shared" si="96"/>
        <v>1.957067748431714E-2</v>
      </c>
      <c r="BZ51" s="463">
        <f t="shared" si="61"/>
        <v>1.7449426532500742E-2</v>
      </c>
      <c r="CA51" s="549">
        <f t="shared" si="97"/>
        <v>1.741604578339272E-2</v>
      </c>
      <c r="CB51" s="147">
        <f t="shared" si="62"/>
        <v>36.986723267709863</v>
      </c>
      <c r="CC51" s="153">
        <f t="shared" si="63"/>
        <v>0.12833999808808072</v>
      </c>
      <c r="CD51" s="5">
        <f t="shared" si="64"/>
        <v>1.6560000000000001</v>
      </c>
      <c r="CE51" s="153">
        <f t="shared" si="65"/>
        <v>0.92807424693410623</v>
      </c>
      <c r="CF51" s="5">
        <f t="shared" si="66"/>
        <v>92.807424693410624</v>
      </c>
      <c r="CG51">
        <f t="shared" si="102"/>
        <v>46</v>
      </c>
      <c r="CI51" s="59">
        <f t="shared" si="98"/>
        <v>-50</v>
      </c>
      <c r="CJ51">
        <f t="shared" si="99"/>
        <v>-50</v>
      </c>
    </row>
    <row r="52" spans="5:88" x14ac:dyDescent="0.25">
      <c r="E52" s="150">
        <v>47</v>
      </c>
      <c r="F52" s="191">
        <f t="shared" si="103"/>
        <v>4.7E-2</v>
      </c>
      <c r="G52" s="191">
        <f t="shared" si="100"/>
        <v>4.7E-2</v>
      </c>
      <c r="H52" s="191">
        <f t="shared" si="70"/>
        <v>0.94</v>
      </c>
      <c r="I52" s="191">
        <f t="shared" si="104"/>
        <v>0.752</v>
      </c>
      <c r="J52" s="472">
        <f t="shared" si="1"/>
        <v>20</v>
      </c>
      <c r="K52" s="386">
        <f t="shared" si="2"/>
        <v>20.32</v>
      </c>
      <c r="L52" s="386">
        <f t="shared" si="3"/>
        <v>40.32</v>
      </c>
      <c r="M52" s="386"/>
      <c r="N52" s="191">
        <f t="shared" si="4"/>
        <v>0.50396825396825395</v>
      </c>
      <c r="O52" s="152">
        <f t="shared" si="101"/>
        <v>1.8898809523809523</v>
      </c>
      <c r="P52" s="152">
        <f t="shared" si="71"/>
        <v>2.7214285714285715</v>
      </c>
      <c r="Q52" s="191">
        <f t="shared" si="6"/>
        <v>9.4494047619047616E-2</v>
      </c>
      <c r="R52" s="191">
        <f t="shared" si="72"/>
        <v>0.11811755952380952</v>
      </c>
      <c r="S52" s="386">
        <f t="shared" si="73"/>
        <v>20</v>
      </c>
      <c r="T52" s="191">
        <f t="shared" si="74"/>
        <v>0.37303937007874016</v>
      </c>
      <c r="U52" s="191">
        <f t="shared" si="10"/>
        <v>2.7977952755905511</v>
      </c>
      <c r="V52" s="191">
        <f t="shared" si="11"/>
        <v>2.7537355074710144</v>
      </c>
      <c r="W52" s="175">
        <f t="shared" si="12"/>
        <v>350</v>
      </c>
      <c r="X52" s="386">
        <f t="shared" si="52"/>
        <v>180.13049716865999</v>
      </c>
      <c r="Z52" s="191">
        <f t="shared" si="13"/>
        <v>0.19198790627362058</v>
      </c>
      <c r="AA52" s="153">
        <f t="shared" si="14"/>
        <v>1.4172335600907029</v>
      </c>
      <c r="AB52" s="153">
        <f t="shared" si="75"/>
        <v>4.7616048182941621E-2</v>
      </c>
      <c r="AC52" s="153"/>
      <c r="AD52" s="153">
        <f t="shared" si="16"/>
        <v>1.1072834645669289</v>
      </c>
      <c r="AE52" s="317">
        <f t="shared" si="76"/>
        <v>565.94962962962961</v>
      </c>
      <c r="AF52" s="463">
        <f t="shared" si="77"/>
        <v>2.9066190944881887E-2</v>
      </c>
      <c r="AH52" s="153">
        <f t="shared" si="78"/>
        <v>0.25388411304597786</v>
      </c>
      <c r="AI52" s="153">
        <f t="shared" si="79"/>
        <v>0.25388411304597786</v>
      </c>
      <c r="AJ52" s="153">
        <f t="shared" si="80"/>
        <v>1.2769511948488725</v>
      </c>
      <c r="AL52" s="317">
        <f t="shared" si="81"/>
        <v>47</v>
      </c>
      <c r="AM52" s="147">
        <f t="shared" si="82"/>
        <v>180.13049716865999</v>
      </c>
      <c r="AO52">
        <f t="shared" si="53"/>
        <v>47</v>
      </c>
      <c r="AP52" s="147">
        <f t="shared" si="24"/>
        <v>180.13049716865999</v>
      </c>
      <c r="AQ52" s="147"/>
      <c r="AR52" s="5">
        <f t="shared" si="54"/>
        <v>5.5515307830615654</v>
      </c>
      <c r="AS52" s="5">
        <f t="shared" si="25"/>
        <v>1.9041308478448338</v>
      </c>
      <c r="AT52" s="5">
        <f t="shared" si="55"/>
        <v>3.6473999352167317</v>
      </c>
      <c r="AU52" s="153">
        <f t="shared" si="56"/>
        <v>0.34299203629647196</v>
      </c>
      <c r="AW52" s="5">
        <f t="shared" si="83"/>
        <v>1.7236920000000002</v>
      </c>
      <c r="AX52" s="5">
        <f t="shared" si="84"/>
        <v>3.9486356279999995</v>
      </c>
      <c r="AY52" s="5">
        <f t="shared" si="85"/>
        <v>1.7372910952321905</v>
      </c>
      <c r="AZ52" s="5">
        <f t="shared" si="86"/>
        <v>2.8850371122675686</v>
      </c>
      <c r="BA52" s="5">
        <f t="shared" si="87"/>
        <v>0.34285559391037279</v>
      </c>
      <c r="BB52" s="147">
        <f t="shared" si="88"/>
        <v>34.567559391037271</v>
      </c>
      <c r="BC52" s="5"/>
      <c r="BD52" s="153">
        <f t="shared" si="57"/>
        <v>8.5845377826306649E-2</v>
      </c>
      <c r="BE52" s="153">
        <f t="shared" si="89"/>
        <v>0.11881197495022522</v>
      </c>
      <c r="BF52" s="153">
        <f t="shared" si="90"/>
        <v>0.11834604563669492</v>
      </c>
      <c r="BG52" s="153"/>
      <c r="BH52" s="463">
        <f t="shared" si="34"/>
        <v>2.5793001129494693E-3</v>
      </c>
      <c r="BI52" s="463">
        <f t="shared" si="35"/>
        <v>9.2196259356491662E-3</v>
      </c>
      <c r="BJ52" s="463">
        <f t="shared" si="36"/>
        <v>2.2516312146082496E-3</v>
      </c>
      <c r="BK52" s="463">
        <f t="shared" si="37"/>
        <v>1.464192907801419E-2</v>
      </c>
      <c r="BL52">
        <f t="shared" si="38"/>
        <v>5.7999999999999996E-3</v>
      </c>
      <c r="BM52">
        <f t="shared" si="91"/>
        <v>6.7548936438247494E-6</v>
      </c>
      <c r="BN52">
        <f t="shared" si="92"/>
        <v>3.4864037878819823E-2</v>
      </c>
      <c r="BO52" s="147">
        <f t="shared" si="58"/>
        <v>34.864037878819822</v>
      </c>
      <c r="BP52" s="153">
        <f t="shared" si="93"/>
        <v>2.873884203916173E-2</v>
      </c>
      <c r="BQ52" s="153">
        <f t="shared" si="94"/>
        <v>2.8654420899631806E-2</v>
      </c>
      <c r="BR52" s="463"/>
      <c r="BT52" s="147">
        <f t="shared" si="59"/>
        <v>57.393262938793534</v>
      </c>
      <c r="BU52" s="463">
        <f t="shared" si="43"/>
        <v>5.8955431153130738E-3</v>
      </c>
      <c r="BV52" s="463">
        <f t="shared" si="60"/>
        <v>1.1236563171692065E-2</v>
      </c>
      <c r="BW52" s="463">
        <f t="shared" si="95"/>
        <v>7.002893258921338E-4</v>
      </c>
      <c r="BX52" s="463">
        <f t="shared" si="45"/>
        <v>0</v>
      </c>
      <c r="BY52" s="463">
        <f t="shared" si="96"/>
        <v>2.0000816083643694E-2</v>
      </c>
      <c r="BZ52" s="463">
        <f t="shared" si="61"/>
        <v>1.7832395612897272E-2</v>
      </c>
      <c r="CA52" s="549">
        <f t="shared" si="97"/>
        <v>1.7416045783392731E-2</v>
      </c>
      <c r="CB52" s="147">
        <f t="shared" si="62"/>
        <v>37.416861867036424</v>
      </c>
      <c r="CC52" s="153">
        <f t="shared" si="63"/>
        <v>0.12967416268464976</v>
      </c>
      <c r="CD52" s="5">
        <f t="shared" si="64"/>
        <v>1.6919999999999999</v>
      </c>
      <c r="CE52" s="153">
        <f t="shared" si="65"/>
        <v>0.92881594011656532</v>
      </c>
      <c r="CF52" s="5">
        <f t="shared" si="66"/>
        <v>92.881594011656532</v>
      </c>
      <c r="CG52">
        <f t="shared" si="102"/>
        <v>47</v>
      </c>
      <c r="CI52" s="59">
        <f t="shared" si="98"/>
        <v>-50</v>
      </c>
      <c r="CJ52">
        <f t="shared" si="99"/>
        <v>-50</v>
      </c>
    </row>
    <row r="53" spans="5:88" x14ac:dyDescent="0.25">
      <c r="E53" s="150">
        <v>48</v>
      </c>
      <c r="F53" s="191">
        <f t="shared" si="103"/>
        <v>4.8000000000000001E-2</v>
      </c>
      <c r="G53" s="191">
        <f t="shared" si="100"/>
        <v>4.8000000000000001E-2</v>
      </c>
      <c r="H53" s="191">
        <f t="shared" si="70"/>
        <v>0.96</v>
      </c>
      <c r="I53" s="191">
        <f t="shared" si="104"/>
        <v>0.76800000000000002</v>
      </c>
      <c r="J53" s="472">
        <f t="shared" si="1"/>
        <v>20</v>
      </c>
      <c r="K53" s="386">
        <f t="shared" si="2"/>
        <v>20.32</v>
      </c>
      <c r="L53" s="386">
        <f t="shared" si="3"/>
        <v>40.32</v>
      </c>
      <c r="M53" s="386"/>
      <c r="N53" s="191">
        <f t="shared" si="4"/>
        <v>0.50396825396825395</v>
      </c>
      <c r="O53" s="152">
        <f t="shared" si="101"/>
        <v>1.8898809523809523</v>
      </c>
      <c r="P53" s="152">
        <f t="shared" si="71"/>
        <v>2.7214285714285715</v>
      </c>
      <c r="Q53" s="191">
        <f t="shared" si="6"/>
        <v>9.4494047619047616E-2</v>
      </c>
      <c r="R53" s="191">
        <f t="shared" si="72"/>
        <v>0.11811755952380952</v>
      </c>
      <c r="S53" s="386">
        <f t="shared" si="73"/>
        <v>20</v>
      </c>
      <c r="T53" s="191">
        <f t="shared" si="74"/>
        <v>0.38097637795275591</v>
      </c>
      <c r="U53" s="191">
        <f t="shared" si="10"/>
        <v>2.8573228346456694</v>
      </c>
      <c r="V53" s="191">
        <f t="shared" si="11"/>
        <v>2.8123256246512494</v>
      </c>
      <c r="W53" s="175">
        <f t="shared" si="12"/>
        <v>350</v>
      </c>
      <c r="X53" s="386">
        <f t="shared" si="52"/>
        <v>176.37777847764619</v>
      </c>
      <c r="Z53" s="191">
        <f t="shared" si="13"/>
        <v>0.19198790627362058</v>
      </c>
      <c r="AA53" s="153">
        <f t="shared" si="14"/>
        <v>1.4172335600907029</v>
      </c>
      <c r="AB53" s="153">
        <f t="shared" si="75"/>
        <v>4.7616048182941621E-2</v>
      </c>
      <c r="AC53" s="153"/>
      <c r="AD53" s="153">
        <f t="shared" si="16"/>
        <v>1.1072834645669289</v>
      </c>
      <c r="AE53" s="317">
        <f t="shared" si="76"/>
        <v>577.99111111111108</v>
      </c>
      <c r="AF53" s="463">
        <f t="shared" si="77"/>
        <v>2.9066190944881887E-2</v>
      </c>
      <c r="AH53" s="153">
        <f t="shared" si="78"/>
        <v>0.25657079223592744</v>
      </c>
      <c r="AI53" s="153">
        <f t="shared" si="79"/>
        <v>0.38097637795275591</v>
      </c>
      <c r="AJ53" s="153">
        <f t="shared" si="80"/>
        <v>1.3710936132983376</v>
      </c>
      <c r="AL53" s="317">
        <f t="shared" si="81"/>
        <v>48</v>
      </c>
      <c r="AM53" s="147">
        <f t="shared" si="82"/>
        <v>176.37777847764619</v>
      </c>
      <c r="AO53">
        <f t="shared" si="53"/>
        <v>48</v>
      </c>
      <c r="AP53" s="147">
        <f t="shared" si="24"/>
        <v>176.37777847764619</v>
      </c>
      <c r="AQ53" s="147"/>
      <c r="AR53" s="5">
        <f t="shared" si="54"/>
        <v>5.6696484592969192</v>
      </c>
      <c r="AS53" s="5">
        <f t="shared" si="25"/>
        <v>2.8573228346456694</v>
      </c>
      <c r="AT53" s="5">
        <f t="shared" si="55"/>
        <v>2.8123256246512498</v>
      </c>
      <c r="AU53" s="153">
        <f t="shared" si="56"/>
        <v>0.50396825396825395</v>
      </c>
      <c r="AW53" s="5">
        <f t="shared" si="83"/>
        <v>1.7236920000000002</v>
      </c>
      <c r="AX53" s="5">
        <f t="shared" si="84"/>
        <v>4.1153863679999994</v>
      </c>
      <c r="AY53" s="5">
        <f t="shared" si="85"/>
        <v>1.7372910952321905</v>
      </c>
      <c r="AZ53" s="5">
        <f t="shared" si="86"/>
        <v>3.0070681333927025</v>
      </c>
      <c r="BA53" s="5">
        <f t="shared" si="87"/>
        <v>0.26998325996652001</v>
      </c>
      <c r="BB53" s="147">
        <f t="shared" si="88"/>
        <v>27.286325996652</v>
      </c>
      <c r="BC53" s="5"/>
      <c r="BD53" s="153">
        <f t="shared" si="57"/>
        <v>0.15614892951594764</v>
      </c>
      <c r="BE53" s="153">
        <f t="shared" si="89"/>
        <v>0.15491453126490104</v>
      </c>
      <c r="BF53" s="153">
        <f t="shared" si="90"/>
        <v>0.15430702329915633</v>
      </c>
      <c r="BG53" s="153"/>
      <c r="BH53" s="463">
        <f t="shared" si="34"/>
        <v>8.5338708661417337E-3</v>
      </c>
      <c r="BI53" s="463">
        <f t="shared" si="35"/>
        <v>1.3546666666666667E-2</v>
      </c>
      <c r="BJ53" s="463">
        <f t="shared" si="36"/>
        <v>2.204722230970577E-3</v>
      </c>
      <c r="BK53" s="463">
        <f t="shared" si="37"/>
        <v>1.433688888888889E-2</v>
      </c>
      <c r="BL53">
        <f t="shared" si="38"/>
        <v>5.7999999999999996E-3</v>
      </c>
      <c r="BM53">
        <f t="shared" si="91"/>
        <v>6.6141666929117319E-6</v>
      </c>
      <c r="BN53">
        <f t="shared" si="92"/>
        <v>4.5652715549249726E-2</v>
      </c>
      <c r="BO53" s="147">
        <f t="shared" si="58"/>
        <v>45.652715549249727</v>
      </c>
      <c r="BP53" s="153">
        <f t="shared" si="93"/>
        <v>3.6670863165726347E-2</v>
      </c>
      <c r="BQ53" s="153">
        <f t="shared" si="94"/>
        <v>3.6527342283737031E-2</v>
      </c>
      <c r="BR53" s="463"/>
      <c r="BT53" s="147">
        <f t="shared" si="59"/>
        <v>73.198205449463373</v>
      </c>
      <c r="BU53" s="463">
        <f t="shared" si="43"/>
        <v>1.9505990551181109E-2</v>
      </c>
      <c r="BV53" s="463">
        <f t="shared" si="60"/>
        <v>1.9102815549631107E-2</v>
      </c>
      <c r="BW53" s="463">
        <f t="shared" si="95"/>
        <v>1.1905328719723188E-3</v>
      </c>
      <c r="BX53" s="463">
        <f t="shared" si="45"/>
        <v>0</v>
      </c>
      <c r="BY53" s="463">
        <f t="shared" si="96"/>
        <v>4.471763824492446E-2</v>
      </c>
      <c r="BZ53" s="463">
        <f t="shared" si="61"/>
        <v>3.9799338972784537E-2</v>
      </c>
      <c r="CA53" s="549">
        <f t="shared" si="97"/>
        <v>3.8399999999999997E-2</v>
      </c>
      <c r="CB53" s="147">
        <f t="shared" si="62"/>
        <v>83.117638244924464</v>
      </c>
      <c r="CC53" s="153">
        <f t="shared" si="63"/>
        <v>0.20196855924363755</v>
      </c>
      <c r="CD53" s="5">
        <f t="shared" si="64"/>
        <v>1.728</v>
      </c>
      <c r="CE53" s="153">
        <f t="shared" si="65"/>
        <v>0.8953513733286983</v>
      </c>
      <c r="CF53" s="5">
        <f t="shared" si="66"/>
        <v>89.535137332869823</v>
      </c>
      <c r="CG53">
        <f t="shared" si="102"/>
        <v>48</v>
      </c>
      <c r="CI53" s="59">
        <f t="shared" si="98"/>
        <v>-50</v>
      </c>
      <c r="CJ53">
        <f t="shared" si="99"/>
        <v>-50</v>
      </c>
    </row>
    <row r="54" spans="5:88" x14ac:dyDescent="0.25">
      <c r="E54" s="150">
        <v>49</v>
      </c>
      <c r="F54" s="191">
        <f t="shared" si="103"/>
        <v>4.9000000000000002E-2</v>
      </c>
      <c r="G54" s="191">
        <f t="shared" si="100"/>
        <v>4.9000000000000002E-2</v>
      </c>
      <c r="H54" s="191">
        <f t="shared" si="70"/>
        <v>0.98</v>
      </c>
      <c r="I54" s="191">
        <f t="shared" si="104"/>
        <v>0.78400000000000003</v>
      </c>
      <c r="J54" s="472">
        <f t="shared" si="1"/>
        <v>20</v>
      </c>
      <c r="K54" s="386">
        <f t="shared" si="2"/>
        <v>20.32</v>
      </c>
      <c r="L54" s="386">
        <f t="shared" si="3"/>
        <v>40.32</v>
      </c>
      <c r="M54" s="386"/>
      <c r="N54" s="191">
        <f t="shared" si="4"/>
        <v>0.50396825396825395</v>
      </c>
      <c r="O54" s="152">
        <f t="shared" si="101"/>
        <v>1.8898809523809523</v>
      </c>
      <c r="P54" s="152">
        <f t="shared" si="71"/>
        <v>2.7214285714285715</v>
      </c>
      <c r="Q54" s="191">
        <f t="shared" si="6"/>
        <v>9.4494047619047616E-2</v>
      </c>
      <c r="R54" s="191">
        <f t="shared" si="72"/>
        <v>0.11811755952380952</v>
      </c>
      <c r="S54" s="386">
        <f t="shared" si="73"/>
        <v>20</v>
      </c>
      <c r="T54" s="191">
        <f t="shared" si="74"/>
        <v>0.38891338582677165</v>
      </c>
      <c r="U54" s="191">
        <f t="shared" si="10"/>
        <v>2.9168503937007872</v>
      </c>
      <c r="V54" s="191">
        <f t="shared" si="11"/>
        <v>2.8709157418314835</v>
      </c>
      <c r="W54" s="175">
        <f t="shared" si="12"/>
        <v>350</v>
      </c>
      <c r="X54" s="386">
        <f t="shared" si="52"/>
        <v>172.77823197810241</v>
      </c>
      <c r="Z54" s="191">
        <f t="shared" si="13"/>
        <v>0.19198790627362058</v>
      </c>
      <c r="AA54" s="153">
        <f t="shared" si="14"/>
        <v>1.4172335600907029</v>
      </c>
      <c r="AB54" s="153">
        <f t="shared" si="75"/>
        <v>4.7616048182941621E-2</v>
      </c>
      <c r="AC54" s="153"/>
      <c r="AD54" s="153">
        <f t="shared" si="16"/>
        <v>1.1072834645669289</v>
      </c>
      <c r="AE54" s="317">
        <f t="shared" si="76"/>
        <v>590.03259259259266</v>
      </c>
      <c r="AF54" s="463">
        <f t="shared" si="77"/>
        <v>2.9066190944881887E-2</v>
      </c>
      <c r="AH54" s="153">
        <f t="shared" si="78"/>
        <v>0.25922962793631443</v>
      </c>
      <c r="AI54" s="153">
        <f t="shared" si="79"/>
        <v>0.38891338582677165</v>
      </c>
      <c r="AJ54" s="153">
        <f t="shared" si="80"/>
        <v>1.3769728783902011</v>
      </c>
      <c r="AL54" s="317">
        <f t="shared" si="81"/>
        <v>49</v>
      </c>
      <c r="AM54" s="147">
        <f t="shared" si="82"/>
        <v>172.77823197810241</v>
      </c>
      <c r="AO54">
        <f t="shared" si="53"/>
        <v>49</v>
      </c>
      <c r="AP54" s="147">
        <f t="shared" si="24"/>
        <v>172.77823197810241</v>
      </c>
      <c r="AQ54" s="147"/>
      <c r="AR54" s="5">
        <f t="shared" si="54"/>
        <v>5.7877661355322712</v>
      </c>
      <c r="AS54" s="5">
        <f t="shared" si="25"/>
        <v>2.9168503937007872</v>
      </c>
      <c r="AT54" s="5">
        <f t="shared" si="55"/>
        <v>2.8709157418314839</v>
      </c>
      <c r="AU54" s="153">
        <f t="shared" si="56"/>
        <v>0.50396825396825395</v>
      </c>
      <c r="AW54" s="5">
        <f t="shared" si="83"/>
        <v>1.7236920000000002</v>
      </c>
      <c r="AX54" s="5">
        <f t="shared" si="84"/>
        <v>4.2855844919999999</v>
      </c>
      <c r="AY54" s="5">
        <f t="shared" si="85"/>
        <v>1.7372910952321905</v>
      </c>
      <c r="AZ54" s="5">
        <f t="shared" si="86"/>
        <v>3.1316261233836284</v>
      </c>
      <c r="BA54" s="5">
        <f t="shared" si="87"/>
        <v>0.28134974269948543</v>
      </c>
      <c r="BB54" s="147">
        <f t="shared" si="88"/>
        <v>28.42897426994854</v>
      </c>
      <c r="BC54" s="5"/>
      <c r="BD54" s="153">
        <f t="shared" si="57"/>
        <v>0.15940203221419655</v>
      </c>
      <c r="BE54" s="153">
        <f t="shared" si="89"/>
        <v>0.1581419173329198</v>
      </c>
      <c r="BF54" s="153">
        <f t="shared" si="90"/>
        <v>0.15752175295122206</v>
      </c>
      <c r="BG54" s="153"/>
      <c r="BH54" s="463">
        <f t="shared" si="34"/>
        <v>8.8931527559055132E-3</v>
      </c>
      <c r="BI54" s="463">
        <f t="shared" si="35"/>
        <v>1.3546666666666667E-2</v>
      </c>
      <c r="BJ54" s="463">
        <f t="shared" si="36"/>
        <v>2.1597278997262798E-3</v>
      </c>
      <c r="BK54" s="463">
        <f t="shared" si="37"/>
        <v>1.4044299319727895E-2</v>
      </c>
      <c r="BL54">
        <f t="shared" si="38"/>
        <v>5.7999999999999996E-3</v>
      </c>
      <c r="BM54">
        <f t="shared" si="91"/>
        <v>6.47918369917884E-6</v>
      </c>
      <c r="BN54">
        <f t="shared" si="92"/>
        <v>4.5725927941428129E-2</v>
      </c>
      <c r="BO54" s="147">
        <f t="shared" si="58"/>
        <v>45.725927941428132</v>
      </c>
      <c r="BP54" s="153">
        <f t="shared" si="93"/>
        <v>3.7824773637547285E-2</v>
      </c>
      <c r="BQ54" s="153">
        <f t="shared" si="94"/>
        <v>3.7675210426758941E-2</v>
      </c>
      <c r="BR54" s="463"/>
      <c r="BT54" s="147">
        <f t="shared" si="59"/>
        <v>75.499984064306219</v>
      </c>
      <c r="BU54" s="463">
        <f t="shared" si="43"/>
        <v>2.0327206299212603E-2</v>
      </c>
      <c r="BV54" s="463">
        <f t="shared" si="60"/>
        <v>1.9907057350114703E-2</v>
      </c>
      <c r="BW54" s="463">
        <f t="shared" si="95"/>
        <v>1.2406551326412918E-3</v>
      </c>
      <c r="BX54" s="463">
        <f t="shared" si="45"/>
        <v>0</v>
      </c>
      <c r="BY54" s="463">
        <f t="shared" si="96"/>
        <v>4.6606549263437547E-2</v>
      </c>
      <c r="BZ54" s="463">
        <f t="shared" si="61"/>
        <v>4.14749187819686E-2</v>
      </c>
      <c r="CA54" s="549">
        <f t="shared" si="97"/>
        <v>3.9199999999999999E-2</v>
      </c>
      <c r="CB54" s="147">
        <f t="shared" si="62"/>
        <v>85.806549263437546</v>
      </c>
      <c r="CC54" s="153">
        <f t="shared" si="63"/>
        <v>0.20703246126917191</v>
      </c>
      <c r="CD54" s="5">
        <f t="shared" si="64"/>
        <v>1.764</v>
      </c>
      <c r="CE54" s="153">
        <f t="shared" si="65"/>
        <v>0.89496242941840687</v>
      </c>
      <c r="CF54" s="5">
        <f t="shared" si="66"/>
        <v>89.496242941840691</v>
      </c>
      <c r="CG54">
        <f t="shared" si="102"/>
        <v>49</v>
      </c>
      <c r="CI54" s="59">
        <f t="shared" si="98"/>
        <v>-50</v>
      </c>
      <c r="CJ54">
        <f t="shared" si="99"/>
        <v>-50</v>
      </c>
    </row>
    <row r="55" spans="5:88" x14ac:dyDescent="0.25">
      <c r="E55" s="150">
        <v>50</v>
      </c>
      <c r="F55" s="191">
        <f t="shared" si="103"/>
        <v>0.05</v>
      </c>
      <c r="G55" s="191">
        <f t="shared" si="100"/>
        <v>0.05</v>
      </c>
      <c r="H55" s="191">
        <f t="shared" si="70"/>
        <v>1</v>
      </c>
      <c r="I55" s="191">
        <f t="shared" si="104"/>
        <v>0.8</v>
      </c>
      <c r="J55" s="472">
        <f t="shared" si="1"/>
        <v>20</v>
      </c>
      <c r="K55" s="386">
        <f t="shared" si="2"/>
        <v>20.32</v>
      </c>
      <c r="L55" s="386">
        <f t="shared" si="3"/>
        <v>40.32</v>
      </c>
      <c r="M55" s="386"/>
      <c r="N55" s="191">
        <f t="shared" si="4"/>
        <v>0.50396825396825395</v>
      </c>
      <c r="O55" s="152">
        <f t="shared" si="101"/>
        <v>1.8898809523809523</v>
      </c>
      <c r="P55" s="152">
        <f t="shared" si="71"/>
        <v>2.7214285714285715</v>
      </c>
      <c r="Q55" s="191">
        <f t="shared" si="6"/>
        <v>9.4494047619047616E-2</v>
      </c>
      <c r="R55" s="191">
        <f t="shared" si="72"/>
        <v>0.11811755952380952</v>
      </c>
      <c r="S55" s="386">
        <f t="shared" si="73"/>
        <v>20</v>
      </c>
      <c r="T55" s="191">
        <f t="shared" si="74"/>
        <v>0.3968503937007874</v>
      </c>
      <c r="U55" s="191">
        <f t="shared" si="10"/>
        <v>2.9763779527559056</v>
      </c>
      <c r="V55" s="191">
        <f t="shared" si="11"/>
        <v>2.9295058590117176</v>
      </c>
      <c r="W55" s="175">
        <f t="shared" si="12"/>
        <v>350</v>
      </c>
      <c r="X55" s="386">
        <f t="shared" si="52"/>
        <v>169.32266733854038</v>
      </c>
      <c r="Z55" s="191">
        <f t="shared" si="13"/>
        <v>0.19198790627362058</v>
      </c>
      <c r="AA55" s="153">
        <f t="shared" si="14"/>
        <v>1.4172335600907029</v>
      </c>
      <c r="AB55" s="153">
        <f t="shared" si="75"/>
        <v>4.7616048182941621E-2</v>
      </c>
      <c r="AC55" s="153"/>
      <c r="AD55" s="153">
        <f t="shared" si="16"/>
        <v>1.1072834645669289</v>
      </c>
      <c r="AE55" s="317">
        <f t="shared" si="76"/>
        <v>602.07407407407413</v>
      </c>
      <c r="AF55" s="463">
        <f t="shared" si="77"/>
        <v>2.9066190944881887E-2</v>
      </c>
      <c r="AH55" s="153">
        <f t="shared" si="78"/>
        <v>0.2618614682831909</v>
      </c>
      <c r="AI55" s="153">
        <f t="shared" si="79"/>
        <v>0.3968503937007874</v>
      </c>
      <c r="AJ55" s="153">
        <f t="shared" si="80"/>
        <v>1.3828521434820646</v>
      </c>
      <c r="AL55" s="317">
        <f t="shared" si="81"/>
        <v>50</v>
      </c>
      <c r="AM55" s="147">
        <f t="shared" si="82"/>
        <v>169.32266733854038</v>
      </c>
      <c r="AO55">
        <f t="shared" si="53"/>
        <v>50</v>
      </c>
      <c r="AP55" s="147">
        <f t="shared" si="24"/>
        <v>169.32266733854038</v>
      </c>
      <c r="AQ55" s="147"/>
      <c r="AR55" s="5">
        <f t="shared" si="54"/>
        <v>5.9058838117676222</v>
      </c>
      <c r="AS55" s="5">
        <f t="shared" si="25"/>
        <v>2.9763779527559056</v>
      </c>
      <c r="AT55" s="5">
        <f t="shared" si="55"/>
        <v>2.9295058590117167</v>
      </c>
      <c r="AU55" s="153">
        <f t="shared" si="56"/>
        <v>0.50396825396825407</v>
      </c>
      <c r="AW55" s="5">
        <f t="shared" si="83"/>
        <v>1.7236920000000002</v>
      </c>
      <c r="AX55" s="5">
        <f t="shared" si="84"/>
        <v>4.4592300000000007</v>
      </c>
      <c r="AY55" s="5">
        <f t="shared" si="85"/>
        <v>1.7372910952321905</v>
      </c>
      <c r="AZ55" s="5">
        <f t="shared" si="86"/>
        <v>3.2587110822403464</v>
      </c>
      <c r="BA55" s="5">
        <f t="shared" si="87"/>
        <v>0.29295058590117168</v>
      </c>
      <c r="BB55" s="147">
        <f t="shared" si="88"/>
        <v>29.595058590117166</v>
      </c>
      <c r="BC55" s="5"/>
      <c r="BD55" s="153">
        <f t="shared" si="57"/>
        <v>0.16265513491244543</v>
      </c>
      <c r="BE55" s="153">
        <f t="shared" si="89"/>
        <v>0.16136930340093855</v>
      </c>
      <c r="BF55" s="153">
        <f t="shared" si="90"/>
        <v>0.16073648260328782</v>
      </c>
      <c r="BG55" s="153"/>
      <c r="BH55" s="463">
        <f t="shared" si="34"/>
        <v>9.2598425196850388E-3</v>
      </c>
      <c r="BI55" s="463">
        <f t="shared" si="35"/>
        <v>1.354666666666667E-2</v>
      </c>
      <c r="BJ55" s="463">
        <f t="shared" si="36"/>
        <v>2.1165333417317547E-3</v>
      </c>
      <c r="BK55" s="463">
        <f t="shared" si="37"/>
        <v>1.3763413333333339E-2</v>
      </c>
      <c r="BL55">
        <f t="shared" si="38"/>
        <v>5.7999999999999996E-3</v>
      </c>
      <c r="BM55">
        <f t="shared" si="91"/>
        <v>6.3496000251952645E-6</v>
      </c>
      <c r="BN55">
        <f t="shared" si="92"/>
        <v>4.5821166959375145E-2</v>
      </c>
      <c r="BO55" s="147">
        <f t="shared" si="58"/>
        <v>45.821166959375148</v>
      </c>
      <c r="BP55" s="153">
        <f t="shared" si="93"/>
        <v>3.8994599789199579E-2</v>
      </c>
      <c r="BQ55" s="153">
        <f t="shared" si="94"/>
        <v>3.8838869665513268E-2</v>
      </c>
      <c r="BR55" s="463"/>
      <c r="BT55" s="147">
        <f t="shared" si="59"/>
        <v>77.833469454712841</v>
      </c>
      <c r="BU55" s="463">
        <f t="shared" si="43"/>
        <v>2.1165354330708663E-2</v>
      </c>
      <c r="BV55" s="463">
        <f t="shared" si="60"/>
        <v>2.072788145576291E-2</v>
      </c>
      <c r="BW55" s="463">
        <f t="shared" si="95"/>
        <v>1.2918108419838524E-3</v>
      </c>
      <c r="BX55" s="463">
        <f t="shared" si="45"/>
        <v>0</v>
      </c>
      <c r="BY55" s="463">
        <f t="shared" si="96"/>
        <v>4.8534930884137309E-2</v>
      </c>
      <c r="BZ55" s="463">
        <f t="shared" si="61"/>
        <v>4.3185046628455424E-2</v>
      </c>
      <c r="CA55" s="549">
        <f t="shared" si="97"/>
        <v>4.0000000000000008E-2</v>
      </c>
      <c r="CB55" s="147">
        <f t="shared" si="62"/>
        <v>88.53493088413731</v>
      </c>
      <c r="CC55" s="153">
        <f t="shared" si="63"/>
        <v>0.2121895672982253</v>
      </c>
      <c r="CD55" s="5">
        <f t="shared" si="64"/>
        <v>1.8</v>
      </c>
      <c r="CE55" s="153">
        <f t="shared" si="65"/>
        <v>0.89454792393982385</v>
      </c>
      <c r="CF55" s="5">
        <f t="shared" si="66"/>
        <v>89.454792393982387</v>
      </c>
      <c r="CG55">
        <f t="shared" si="102"/>
        <v>50</v>
      </c>
      <c r="CI55" s="59">
        <f t="shared" si="98"/>
        <v>-50</v>
      </c>
      <c r="CJ55">
        <f t="shared" si="99"/>
        <v>-50</v>
      </c>
    </row>
    <row r="56" spans="5:88" x14ac:dyDescent="0.25">
      <c r="E56" s="150">
        <v>51</v>
      </c>
      <c r="F56" s="191">
        <f t="shared" si="103"/>
        <v>5.1000000000000004E-2</v>
      </c>
      <c r="G56" s="191">
        <f t="shared" si="100"/>
        <v>5.1000000000000004E-2</v>
      </c>
      <c r="H56" s="191">
        <f t="shared" si="70"/>
        <v>1.02</v>
      </c>
      <c r="I56" s="191">
        <f t="shared" si="104"/>
        <v>0.81600000000000006</v>
      </c>
      <c r="J56" s="472">
        <f t="shared" si="1"/>
        <v>20</v>
      </c>
      <c r="K56" s="386">
        <f t="shared" si="2"/>
        <v>20.32</v>
      </c>
      <c r="L56" s="386">
        <f t="shared" si="3"/>
        <v>40.32</v>
      </c>
      <c r="M56" s="386"/>
      <c r="N56" s="191">
        <f t="shared" si="4"/>
        <v>0.50396825396825395</v>
      </c>
      <c r="O56" s="152">
        <f t="shared" si="101"/>
        <v>1.8898809523809523</v>
      </c>
      <c r="P56" s="152">
        <f t="shared" si="71"/>
        <v>2.7214285714285715</v>
      </c>
      <c r="Q56" s="191">
        <f t="shared" si="6"/>
        <v>9.4494047619047616E-2</v>
      </c>
      <c r="R56" s="191">
        <f t="shared" si="72"/>
        <v>0.11811755952380952</v>
      </c>
      <c r="S56" s="386">
        <f t="shared" si="73"/>
        <v>20</v>
      </c>
      <c r="T56" s="191">
        <f t="shared" si="74"/>
        <v>0.4047874015748032</v>
      </c>
      <c r="U56" s="191">
        <f t="shared" si="10"/>
        <v>3.0359055118110239</v>
      </c>
      <c r="V56" s="191">
        <f t="shared" si="11"/>
        <v>2.9880959761919521</v>
      </c>
      <c r="W56" s="175">
        <f t="shared" si="12"/>
        <v>350</v>
      </c>
      <c r="X56" s="386">
        <f t="shared" si="52"/>
        <v>166.00261503778466</v>
      </c>
      <c r="Z56" s="191">
        <f t="shared" si="13"/>
        <v>0.19198790627362058</v>
      </c>
      <c r="AA56" s="153">
        <f t="shared" si="14"/>
        <v>1.4172335600907029</v>
      </c>
      <c r="AB56" s="153">
        <f t="shared" si="75"/>
        <v>4.7616048182941621E-2</v>
      </c>
      <c r="AC56" s="153"/>
      <c r="AD56" s="153">
        <f t="shared" si="16"/>
        <v>1.1072834645669289</v>
      </c>
      <c r="AE56" s="317">
        <f t="shared" si="76"/>
        <v>614.1155555555556</v>
      </c>
      <c r="AF56" s="463">
        <f t="shared" si="77"/>
        <v>2.9066190944881887E-2</v>
      </c>
      <c r="AH56" s="153">
        <f t="shared" si="78"/>
        <v>0.26446711920928312</v>
      </c>
      <c r="AI56" s="153">
        <f t="shared" si="79"/>
        <v>0.4047874015748032</v>
      </c>
      <c r="AJ56" s="153">
        <f t="shared" si="80"/>
        <v>1.3887314085739282</v>
      </c>
      <c r="AL56" s="317">
        <f t="shared" si="81"/>
        <v>51.000000000000007</v>
      </c>
      <c r="AM56" s="147">
        <f t="shared" si="82"/>
        <v>166.00261503778466</v>
      </c>
      <c r="AO56">
        <f t="shared" si="53"/>
        <v>51.000000000000007</v>
      </c>
      <c r="AP56" s="147">
        <f t="shared" si="24"/>
        <v>166.00261503778466</v>
      </c>
      <c r="AQ56" s="147"/>
      <c r="AR56" s="5">
        <f t="shared" si="54"/>
        <v>6.024001488002976</v>
      </c>
      <c r="AS56" s="5">
        <f t="shared" si="25"/>
        <v>3.0359055118110239</v>
      </c>
      <c r="AT56" s="5">
        <f t="shared" si="55"/>
        <v>2.9880959761919521</v>
      </c>
      <c r="AU56" s="153">
        <f t="shared" si="56"/>
        <v>0.50396825396825407</v>
      </c>
      <c r="AW56" s="5">
        <f t="shared" si="83"/>
        <v>1.7236920000000002</v>
      </c>
      <c r="AX56" s="5">
        <f t="shared" si="84"/>
        <v>4.6363228920000008</v>
      </c>
      <c r="AY56" s="5">
        <f t="shared" si="85"/>
        <v>1.7372910952321905</v>
      </c>
      <c r="AZ56" s="5">
        <f t="shared" si="86"/>
        <v>3.3883230099628561</v>
      </c>
      <c r="BA56" s="5">
        <f t="shared" si="87"/>
        <v>0.30478578957157915</v>
      </c>
      <c r="BB56" s="147">
        <f t="shared" si="88"/>
        <v>30.784578957157915</v>
      </c>
      <c r="BC56" s="5"/>
      <c r="BD56" s="153">
        <f t="shared" si="57"/>
        <v>0.16590823761069437</v>
      </c>
      <c r="BE56" s="153">
        <f t="shared" si="89"/>
        <v>0.16459668946895734</v>
      </c>
      <c r="BF56" s="153">
        <f t="shared" si="90"/>
        <v>0.16395121225535361</v>
      </c>
      <c r="BG56" s="153"/>
      <c r="BH56" s="463">
        <f t="shared" si="34"/>
        <v>9.6339401574803175E-3</v>
      </c>
      <c r="BI56" s="463">
        <f t="shared" si="35"/>
        <v>1.354666666666667E-2</v>
      </c>
      <c r="BJ56" s="463">
        <f t="shared" si="36"/>
        <v>2.0750326879723086E-3</v>
      </c>
      <c r="BK56" s="463">
        <f t="shared" si="37"/>
        <v>1.3493542483660134E-2</v>
      </c>
      <c r="BL56">
        <f t="shared" si="38"/>
        <v>5.7999999999999996E-3</v>
      </c>
      <c r="BM56">
        <f t="shared" si="91"/>
        <v>6.2250980639169244E-6</v>
      </c>
      <c r="BN56">
        <f t="shared" si="92"/>
        <v>4.5937641425225245E-2</v>
      </c>
      <c r="BO56" s="147">
        <f t="shared" si="58"/>
        <v>45.937641425225245</v>
      </c>
      <c r="BP56" s="153">
        <f t="shared" si="93"/>
        <v>4.0180341620683249E-2</v>
      </c>
      <c r="BQ56" s="153">
        <f t="shared" si="94"/>
        <v>4.001832000000001E-2</v>
      </c>
      <c r="BR56" s="463"/>
      <c r="BT56" s="147">
        <f t="shared" si="59"/>
        <v>80.198661620683254</v>
      </c>
      <c r="BU56" s="463">
        <f t="shared" si="43"/>
        <v>2.2020434645669301E-2</v>
      </c>
      <c r="BV56" s="463">
        <f t="shared" si="60"/>
        <v>2.1565287866575734E-2</v>
      </c>
      <c r="BW56" s="463">
        <f t="shared" si="95"/>
        <v>1.3440000000000006E-3</v>
      </c>
      <c r="BX56" s="463">
        <f t="shared" si="45"/>
        <v>0</v>
      </c>
      <c r="BY56" s="463">
        <f t="shared" si="96"/>
        <v>5.0502815412319449E-2</v>
      </c>
      <c r="BZ56" s="463">
        <f t="shared" si="61"/>
        <v>4.4929722512245029E-2</v>
      </c>
      <c r="CA56" s="549">
        <f t="shared" si="97"/>
        <v>4.0800000000000017E-2</v>
      </c>
      <c r="CB56" s="147">
        <f t="shared" si="62"/>
        <v>91.302815412319461</v>
      </c>
      <c r="CC56" s="153">
        <f t="shared" si="63"/>
        <v>0.21743911845822794</v>
      </c>
      <c r="CD56" s="5">
        <f t="shared" si="64"/>
        <v>1.8360000000000001</v>
      </c>
      <c r="CE56" s="153">
        <f t="shared" si="65"/>
        <v>0.89410978075576619</v>
      </c>
      <c r="CF56" s="5">
        <f t="shared" si="66"/>
        <v>89.410978075576622</v>
      </c>
      <c r="CG56">
        <f t="shared" si="102"/>
        <v>51</v>
      </c>
      <c r="CI56" s="59">
        <f t="shared" si="98"/>
        <v>-50</v>
      </c>
      <c r="CJ56">
        <f t="shared" si="99"/>
        <v>-50</v>
      </c>
    </row>
    <row r="57" spans="5:88" x14ac:dyDescent="0.25">
      <c r="E57" s="150">
        <v>52</v>
      </c>
      <c r="F57" s="191">
        <f t="shared" si="103"/>
        <v>5.2000000000000005E-2</v>
      </c>
      <c r="G57" s="191">
        <f t="shared" si="100"/>
        <v>5.2000000000000005E-2</v>
      </c>
      <c r="H57" s="191">
        <f t="shared" si="70"/>
        <v>1.04</v>
      </c>
      <c r="I57" s="191">
        <f t="shared" si="104"/>
        <v>0.83200000000000007</v>
      </c>
      <c r="J57" s="472">
        <f t="shared" si="1"/>
        <v>20</v>
      </c>
      <c r="K57" s="386">
        <f t="shared" si="2"/>
        <v>20.32</v>
      </c>
      <c r="L57" s="386">
        <f t="shared" si="3"/>
        <v>40.32</v>
      </c>
      <c r="M57" s="386"/>
      <c r="N57" s="191">
        <f t="shared" si="4"/>
        <v>0.50396825396825395</v>
      </c>
      <c r="O57" s="152">
        <f t="shared" si="101"/>
        <v>1.8898809523809523</v>
      </c>
      <c r="P57" s="152">
        <f t="shared" si="71"/>
        <v>2.7214285714285715</v>
      </c>
      <c r="Q57" s="191">
        <f t="shared" si="6"/>
        <v>9.4494047619047616E-2</v>
      </c>
      <c r="R57" s="191">
        <f t="shared" si="72"/>
        <v>0.11811755952380952</v>
      </c>
      <c r="S57" s="386">
        <f t="shared" si="73"/>
        <v>20</v>
      </c>
      <c r="T57" s="191">
        <f t="shared" si="74"/>
        <v>0.41272440944881894</v>
      </c>
      <c r="U57" s="191">
        <f t="shared" si="10"/>
        <v>3.0954330708661422</v>
      </c>
      <c r="V57" s="191">
        <f t="shared" si="11"/>
        <v>3.0466860933721871</v>
      </c>
      <c r="W57" s="175">
        <f t="shared" si="12"/>
        <v>350</v>
      </c>
      <c r="X57" s="386">
        <f t="shared" si="52"/>
        <v>162.8102570562888</v>
      </c>
      <c r="Z57" s="191">
        <f t="shared" si="13"/>
        <v>0.19198790627362058</v>
      </c>
      <c r="AA57" s="153">
        <f t="shared" si="14"/>
        <v>1.4172335600907029</v>
      </c>
      <c r="AB57" s="153">
        <f t="shared" si="75"/>
        <v>4.7616048182941621E-2</v>
      </c>
      <c r="AC57" s="153"/>
      <c r="AD57" s="153">
        <f t="shared" si="16"/>
        <v>1.1072834645669289</v>
      </c>
      <c r="AE57" s="317">
        <f t="shared" si="76"/>
        <v>626.15703703703707</v>
      </c>
      <c r="AF57" s="463">
        <f t="shared" si="77"/>
        <v>2.9066190944881887E-2</v>
      </c>
      <c r="AH57" s="153">
        <f t="shared" si="78"/>
        <v>0.26704734732680968</v>
      </c>
      <c r="AI57" s="153">
        <f t="shared" si="79"/>
        <v>0.41272440944881894</v>
      </c>
      <c r="AJ57" s="153">
        <f t="shared" si="80"/>
        <v>1.3946106736657917</v>
      </c>
      <c r="AL57" s="317">
        <f t="shared" si="81"/>
        <v>52.000000000000007</v>
      </c>
      <c r="AM57" s="147">
        <f t="shared" si="82"/>
        <v>162.8102570562888</v>
      </c>
      <c r="AO57">
        <f t="shared" si="53"/>
        <v>52.000000000000007</v>
      </c>
      <c r="AP57" s="147">
        <f t="shared" si="24"/>
        <v>162.8102570562888</v>
      </c>
      <c r="AQ57" s="147"/>
      <c r="AR57" s="5">
        <f t="shared" si="54"/>
        <v>6.1421191642383279</v>
      </c>
      <c r="AS57" s="5">
        <f t="shared" si="25"/>
        <v>3.0954330708661422</v>
      </c>
      <c r="AT57" s="5">
        <f t="shared" si="55"/>
        <v>3.0466860933721858</v>
      </c>
      <c r="AU57" s="153">
        <f t="shared" si="56"/>
        <v>0.50396825396825407</v>
      </c>
      <c r="AW57" s="5">
        <f t="shared" si="83"/>
        <v>1.7236920000000002</v>
      </c>
      <c r="AX57" s="5">
        <f t="shared" si="84"/>
        <v>4.8168631680000003</v>
      </c>
      <c r="AY57" s="5">
        <f t="shared" si="85"/>
        <v>1.7372910952321905</v>
      </c>
      <c r="AZ57" s="5">
        <f t="shared" si="86"/>
        <v>3.5204619065511595</v>
      </c>
      <c r="BA57" s="5">
        <f t="shared" si="87"/>
        <v>0.31685535371070733</v>
      </c>
      <c r="BB57" s="147">
        <f t="shared" si="88"/>
        <v>31.997535371070729</v>
      </c>
      <c r="BC57" s="5"/>
      <c r="BD57" s="153">
        <f t="shared" si="57"/>
        <v>0.16916134030894328</v>
      </c>
      <c r="BE57" s="153">
        <f t="shared" si="89"/>
        <v>0.16782407553697612</v>
      </c>
      <c r="BF57" s="153">
        <f t="shared" si="90"/>
        <v>0.16716594190741937</v>
      </c>
      <c r="BG57" s="153"/>
      <c r="BH57" s="463">
        <f t="shared" si="34"/>
        <v>1.0015445669291342E-2</v>
      </c>
      <c r="BI57" s="463">
        <f t="shared" si="35"/>
        <v>1.354666666666667E-2</v>
      </c>
      <c r="BJ57" s="463">
        <f t="shared" si="36"/>
        <v>2.0351282132036103E-3</v>
      </c>
      <c r="BK57" s="463">
        <f t="shared" si="37"/>
        <v>1.3234051282051285E-2</v>
      </c>
      <c r="BL57">
        <f t="shared" si="38"/>
        <v>5.7999999999999996E-3</v>
      </c>
      <c r="BM57">
        <f t="shared" si="91"/>
        <v>6.1053846396108301E-6</v>
      </c>
      <c r="BN57">
        <f t="shared" si="92"/>
        <v>4.6074621357657428E-2</v>
      </c>
      <c r="BO57" s="147">
        <f t="shared" si="58"/>
        <v>46.074621357657428</v>
      </c>
      <c r="BP57" s="153">
        <f t="shared" si="93"/>
        <v>4.1381999131998269E-2</v>
      </c>
      <c r="BQ57" s="153">
        <f t="shared" si="94"/>
        <v>4.1213561430219162E-2</v>
      </c>
      <c r="BR57" s="463"/>
      <c r="BT57" s="147">
        <f t="shared" si="59"/>
        <v>82.595560562217429</v>
      </c>
      <c r="BU57" s="463">
        <f t="shared" si="43"/>
        <v>2.2892447244094498E-2</v>
      </c>
      <c r="BV57" s="463">
        <f t="shared" si="60"/>
        <v>2.2419276582553171E-2</v>
      </c>
      <c r="BW57" s="463">
        <f t="shared" si="95"/>
        <v>1.3972226066897356E-3</v>
      </c>
      <c r="BX57" s="463">
        <f t="shared" si="45"/>
        <v>0</v>
      </c>
      <c r="BY57" s="463">
        <f t="shared" si="96"/>
        <v>5.251023582874001E-2</v>
      </c>
      <c r="BZ57" s="463">
        <f t="shared" si="61"/>
        <v>4.6708946433337402E-2</v>
      </c>
      <c r="CA57" s="549">
        <f t="shared" si="97"/>
        <v>4.1600000000000012E-2</v>
      </c>
      <c r="CB57" s="147">
        <f t="shared" si="62"/>
        <v>94.110235828740016</v>
      </c>
      <c r="CC57" s="153">
        <f t="shared" si="63"/>
        <v>0.22278041774861485</v>
      </c>
      <c r="CD57" s="5">
        <f t="shared" si="64"/>
        <v>1.8720000000000001</v>
      </c>
      <c r="CE57" s="153">
        <f t="shared" si="65"/>
        <v>0.89364975161069615</v>
      </c>
      <c r="CF57" s="5">
        <f t="shared" si="66"/>
        <v>89.364975161069609</v>
      </c>
      <c r="CG57">
        <f t="shared" si="102"/>
        <v>52</v>
      </c>
      <c r="CI57" s="59">
        <f t="shared" si="98"/>
        <v>-50</v>
      </c>
      <c r="CJ57">
        <f t="shared" si="99"/>
        <v>-50</v>
      </c>
    </row>
    <row r="58" spans="5:88" x14ac:dyDescent="0.25">
      <c r="E58" s="150">
        <v>53</v>
      </c>
      <c r="F58" s="191">
        <f t="shared" si="103"/>
        <v>5.3000000000000005E-2</v>
      </c>
      <c r="G58" s="191">
        <f t="shared" si="100"/>
        <v>5.3000000000000005E-2</v>
      </c>
      <c r="H58" s="191">
        <f t="shared" si="70"/>
        <v>1.06</v>
      </c>
      <c r="I58" s="191">
        <f t="shared" si="104"/>
        <v>0.84800000000000009</v>
      </c>
      <c r="J58" s="472">
        <f t="shared" si="1"/>
        <v>20</v>
      </c>
      <c r="K58" s="386">
        <f t="shared" si="2"/>
        <v>20.32</v>
      </c>
      <c r="L58" s="386">
        <f t="shared" si="3"/>
        <v>40.32</v>
      </c>
      <c r="M58" s="386"/>
      <c r="N58" s="191">
        <f t="shared" si="4"/>
        <v>0.50396825396825395</v>
      </c>
      <c r="O58" s="152">
        <f t="shared" si="101"/>
        <v>1.8898809523809523</v>
      </c>
      <c r="P58" s="152">
        <f t="shared" si="71"/>
        <v>2.7214285714285715</v>
      </c>
      <c r="Q58" s="191">
        <f t="shared" si="6"/>
        <v>9.4494047619047616E-2</v>
      </c>
      <c r="R58" s="191">
        <f t="shared" si="72"/>
        <v>0.11811755952380952</v>
      </c>
      <c r="S58" s="386">
        <f t="shared" si="73"/>
        <v>20</v>
      </c>
      <c r="T58" s="191">
        <f t="shared" si="74"/>
        <v>0.42066141732283469</v>
      </c>
      <c r="U58" s="191">
        <f t="shared" si="10"/>
        <v>3.1549606299212596</v>
      </c>
      <c r="V58" s="191">
        <f t="shared" si="11"/>
        <v>3.1052762105524208</v>
      </c>
      <c r="W58" s="175">
        <f t="shared" si="12"/>
        <v>350</v>
      </c>
      <c r="X58" s="386">
        <f t="shared" si="52"/>
        <v>159.73836541371733</v>
      </c>
      <c r="Z58" s="191">
        <f t="shared" si="13"/>
        <v>0.19198790627362058</v>
      </c>
      <c r="AA58" s="153">
        <f t="shared" si="14"/>
        <v>1.4172335600907029</v>
      </c>
      <c r="AB58" s="153">
        <f t="shared" si="75"/>
        <v>4.7616048182941621E-2</v>
      </c>
      <c r="AC58" s="153"/>
      <c r="AD58" s="153">
        <f t="shared" si="16"/>
        <v>1.1072834645669289</v>
      </c>
      <c r="AE58" s="317">
        <f t="shared" si="76"/>
        <v>638.19851851851865</v>
      </c>
      <c r="AF58" s="463">
        <f t="shared" si="77"/>
        <v>2.9066190944881887E-2</v>
      </c>
      <c r="AH58" s="153">
        <f t="shared" si="78"/>
        <v>0.26960288256195314</v>
      </c>
      <c r="AI58" s="153">
        <f t="shared" si="79"/>
        <v>0.42066141732283469</v>
      </c>
      <c r="AJ58" s="153">
        <f t="shared" si="80"/>
        <v>1.4004899387576553</v>
      </c>
      <c r="AL58" s="317">
        <f t="shared" si="81"/>
        <v>53.000000000000007</v>
      </c>
      <c r="AM58" s="147">
        <f t="shared" si="82"/>
        <v>159.73836541371733</v>
      </c>
      <c r="AO58">
        <f t="shared" si="53"/>
        <v>53.000000000000007</v>
      </c>
      <c r="AP58" s="147">
        <f t="shared" si="24"/>
        <v>159.73836541371733</v>
      </c>
      <c r="AQ58" s="147"/>
      <c r="AR58" s="5">
        <f t="shared" si="54"/>
        <v>6.2602368404736799</v>
      </c>
      <c r="AS58" s="5">
        <f t="shared" si="25"/>
        <v>3.1549606299212596</v>
      </c>
      <c r="AT58" s="5">
        <f t="shared" si="55"/>
        <v>3.1052762105524203</v>
      </c>
      <c r="AU58" s="153">
        <f t="shared" si="56"/>
        <v>0.50396825396825407</v>
      </c>
      <c r="AW58" s="5">
        <f t="shared" si="83"/>
        <v>1.7236920000000002</v>
      </c>
      <c r="AX58" s="5">
        <f t="shared" si="84"/>
        <v>5.0008508279999999</v>
      </c>
      <c r="AY58" s="5">
        <f t="shared" si="85"/>
        <v>1.7372910952321905</v>
      </c>
      <c r="AZ58" s="5">
        <f t="shared" si="86"/>
        <v>3.6551277720052533</v>
      </c>
      <c r="BA58" s="5">
        <f t="shared" si="87"/>
        <v>0.32915927831855657</v>
      </c>
      <c r="BB58" s="147">
        <f t="shared" si="88"/>
        <v>33.233927831855659</v>
      </c>
      <c r="BC58" s="5"/>
      <c r="BD58" s="153">
        <f t="shared" si="57"/>
        <v>0.17241444300719219</v>
      </c>
      <c r="BE58" s="153">
        <f t="shared" si="89"/>
        <v>0.17105146160499488</v>
      </c>
      <c r="BF58" s="153">
        <f t="shared" si="90"/>
        <v>0.17038067155948511</v>
      </c>
      <c r="BG58" s="153"/>
      <c r="BH58" s="463">
        <f t="shared" si="34"/>
        <v>1.0404359055118113E-2</v>
      </c>
      <c r="BI58" s="463">
        <f t="shared" si="35"/>
        <v>1.354666666666667E-2</v>
      </c>
      <c r="BJ58" s="463">
        <f t="shared" si="36"/>
        <v>1.9967295676714663E-3</v>
      </c>
      <c r="BK58" s="463">
        <f t="shared" si="37"/>
        <v>1.2984352201257866E-2</v>
      </c>
      <c r="BL58">
        <f t="shared" si="38"/>
        <v>5.7999999999999996E-3</v>
      </c>
      <c r="BM58">
        <f t="shared" si="91"/>
        <v>5.9901887030143996E-6</v>
      </c>
      <c r="BN58">
        <f t="shared" si="92"/>
        <v>4.6231432205402941E-2</v>
      </c>
      <c r="BO58" s="147">
        <f t="shared" si="58"/>
        <v>46.231432205402939</v>
      </c>
      <c r="BP58" s="153">
        <f t="shared" si="93"/>
        <v>4.2599572323144652E-2</v>
      </c>
      <c r="BQ58" s="153">
        <f t="shared" si="94"/>
        <v>4.2424593956170716E-2</v>
      </c>
      <c r="BR58" s="463"/>
      <c r="BT58" s="147">
        <f t="shared" si="59"/>
        <v>85.024166279315367</v>
      </c>
      <c r="BU58" s="463">
        <f t="shared" si="43"/>
        <v>2.3781392125984263E-2</v>
      </c>
      <c r="BV58" s="463">
        <f t="shared" si="60"/>
        <v>2.3289847603695211E-2</v>
      </c>
      <c r="BW58" s="463">
        <f t="shared" si="95"/>
        <v>1.4514786620530571E-3</v>
      </c>
      <c r="BX58" s="463">
        <f t="shared" si="45"/>
        <v>0</v>
      </c>
      <c r="BY58" s="463">
        <f t="shared" si="96"/>
        <v>5.4557225791003722E-2</v>
      </c>
      <c r="BZ58" s="463">
        <f t="shared" si="61"/>
        <v>4.8522718391732528E-2</v>
      </c>
      <c r="CA58" s="549">
        <f t="shared" si="97"/>
        <v>4.2400000000000014E-2</v>
      </c>
      <c r="CB58" s="147">
        <f t="shared" si="62"/>
        <v>96.957225791003737</v>
      </c>
      <c r="CC58" s="153">
        <f t="shared" si="63"/>
        <v>0.22821282427572204</v>
      </c>
      <c r="CD58" s="5">
        <f t="shared" si="64"/>
        <v>1.9080000000000001</v>
      </c>
      <c r="CE58" s="153">
        <f t="shared" si="65"/>
        <v>0.89316943439233532</v>
      </c>
      <c r="CF58" s="5">
        <f t="shared" si="66"/>
        <v>89.316943439233526</v>
      </c>
      <c r="CG58">
        <f t="shared" si="102"/>
        <v>53</v>
      </c>
      <c r="CI58" s="59">
        <f t="shared" si="98"/>
        <v>-50</v>
      </c>
      <c r="CJ58">
        <f t="shared" si="99"/>
        <v>-50</v>
      </c>
    </row>
    <row r="59" spans="5:88" x14ac:dyDescent="0.25">
      <c r="E59" s="150">
        <v>54</v>
      </c>
      <c r="F59" s="191">
        <f t="shared" si="103"/>
        <v>5.4000000000000006E-2</v>
      </c>
      <c r="G59" s="191">
        <f t="shared" si="100"/>
        <v>5.4000000000000006E-2</v>
      </c>
      <c r="H59" s="191">
        <f t="shared" si="70"/>
        <v>1.08</v>
      </c>
      <c r="I59" s="191">
        <f t="shared" si="104"/>
        <v>0.8640000000000001</v>
      </c>
      <c r="J59" s="472">
        <f t="shared" si="1"/>
        <v>20</v>
      </c>
      <c r="K59" s="386">
        <f t="shared" si="2"/>
        <v>20.32</v>
      </c>
      <c r="L59" s="386">
        <f t="shared" si="3"/>
        <v>40.32</v>
      </c>
      <c r="M59" s="386"/>
      <c r="N59" s="191">
        <f t="shared" si="4"/>
        <v>0.50396825396825395</v>
      </c>
      <c r="O59" s="152">
        <f t="shared" si="101"/>
        <v>1.8898809523809523</v>
      </c>
      <c r="P59" s="152">
        <f t="shared" si="71"/>
        <v>2.7214285714285715</v>
      </c>
      <c r="Q59" s="191">
        <f t="shared" si="6"/>
        <v>9.4494047619047616E-2</v>
      </c>
      <c r="R59" s="191">
        <f t="shared" si="72"/>
        <v>0.11811755952380952</v>
      </c>
      <c r="S59" s="386">
        <f t="shared" si="73"/>
        <v>20</v>
      </c>
      <c r="T59" s="191">
        <f t="shared" si="74"/>
        <v>0.42859842519685043</v>
      </c>
      <c r="U59" s="191">
        <f t="shared" si="10"/>
        <v>3.2144881889763779</v>
      </c>
      <c r="V59" s="191">
        <f t="shared" si="11"/>
        <v>3.1638663277326553</v>
      </c>
      <c r="W59" s="175">
        <f t="shared" si="12"/>
        <v>350</v>
      </c>
      <c r="X59" s="386">
        <f t="shared" si="52"/>
        <v>156.78024753568553</v>
      </c>
      <c r="Z59" s="191">
        <f t="shared" si="13"/>
        <v>0.19198790627362058</v>
      </c>
      <c r="AA59" s="153">
        <f t="shared" si="14"/>
        <v>1.4172335600907029</v>
      </c>
      <c r="AB59" s="153">
        <f t="shared" si="75"/>
        <v>4.7616048182941621E-2</v>
      </c>
      <c r="AC59" s="153"/>
      <c r="AD59" s="153">
        <f t="shared" si="16"/>
        <v>1.1072834645669289</v>
      </c>
      <c r="AE59" s="317">
        <f t="shared" si="76"/>
        <v>650.24000000000012</v>
      </c>
      <c r="AF59" s="463">
        <f t="shared" si="77"/>
        <v>2.9066190944881887E-2</v>
      </c>
      <c r="AH59" s="153">
        <f t="shared" si="78"/>
        <v>0.27213442056664366</v>
      </c>
      <c r="AI59" s="153">
        <f t="shared" si="79"/>
        <v>0.42859842519685043</v>
      </c>
      <c r="AJ59" s="153">
        <f t="shared" si="80"/>
        <v>1.4063692038495188</v>
      </c>
      <c r="AL59" s="317">
        <f t="shared" si="81"/>
        <v>54.000000000000007</v>
      </c>
      <c r="AM59" s="147">
        <f t="shared" si="82"/>
        <v>156.78024753568553</v>
      </c>
      <c r="AO59">
        <f t="shared" si="53"/>
        <v>54.000000000000007</v>
      </c>
      <c r="AP59" s="147">
        <f t="shared" si="24"/>
        <v>156.78024753568553</v>
      </c>
      <c r="AQ59" s="147"/>
      <c r="AR59" s="5">
        <f t="shared" si="54"/>
        <v>6.3783545167090328</v>
      </c>
      <c r="AS59" s="5">
        <f t="shared" si="25"/>
        <v>3.2144881889763779</v>
      </c>
      <c r="AT59" s="5">
        <f t="shared" si="55"/>
        <v>3.1638663277326549</v>
      </c>
      <c r="AU59" s="153">
        <f t="shared" si="56"/>
        <v>0.50396825396825407</v>
      </c>
      <c r="AW59" s="5">
        <f t="shared" si="83"/>
        <v>1.7236920000000002</v>
      </c>
      <c r="AX59" s="5">
        <f t="shared" si="84"/>
        <v>5.1882858719999989</v>
      </c>
      <c r="AY59" s="5">
        <f t="shared" si="85"/>
        <v>1.7372910952321905</v>
      </c>
      <c r="AZ59" s="5">
        <f t="shared" si="86"/>
        <v>3.79232060632514</v>
      </c>
      <c r="BA59" s="5">
        <f t="shared" si="87"/>
        <v>0.34169756339512675</v>
      </c>
      <c r="BB59" s="147">
        <f t="shared" si="88"/>
        <v>34.493756339512679</v>
      </c>
      <c r="BC59" s="5"/>
      <c r="BD59" s="153">
        <f t="shared" si="57"/>
        <v>0.1756675457054411</v>
      </c>
      <c r="BE59" s="153">
        <f t="shared" si="89"/>
        <v>0.17427884767301363</v>
      </c>
      <c r="BF59" s="153">
        <f t="shared" si="90"/>
        <v>0.17359540121155087</v>
      </c>
      <c r="BG59" s="153"/>
      <c r="BH59" s="463">
        <f t="shared" si="34"/>
        <v>1.0800680314960632E-2</v>
      </c>
      <c r="BI59" s="463">
        <f t="shared" si="35"/>
        <v>1.354666666666667E-2</v>
      </c>
      <c r="BJ59" s="463">
        <f t="shared" si="36"/>
        <v>1.9597530941960692E-3</v>
      </c>
      <c r="BK59" s="463">
        <f t="shared" si="37"/>
        <v>1.2743901234567905E-2</v>
      </c>
      <c r="BL59">
        <f t="shared" si="38"/>
        <v>5.7999999999999996E-3</v>
      </c>
      <c r="BM59">
        <f t="shared" si="91"/>
        <v>5.8792592825882069E-6</v>
      </c>
      <c r="BN59">
        <f t="shared" si="92"/>
        <v>4.6407449721483973E-2</v>
      </c>
      <c r="BO59" s="147">
        <f t="shared" si="58"/>
        <v>46.407449721483971</v>
      </c>
      <c r="BP59" s="153">
        <f t="shared" si="93"/>
        <v>4.3833061194122398E-2</v>
      </c>
      <c r="BQ59" s="153">
        <f t="shared" si="94"/>
        <v>4.3651417577854686E-2</v>
      </c>
      <c r="BR59" s="463"/>
      <c r="BT59" s="147">
        <f t="shared" si="59"/>
        <v>87.484478771977081</v>
      </c>
      <c r="BU59" s="463">
        <f t="shared" si="43"/>
        <v>2.468726929133859E-2</v>
      </c>
      <c r="BV59" s="463">
        <f t="shared" si="60"/>
        <v>2.4177000930001861E-2</v>
      </c>
      <c r="BW59" s="463">
        <f t="shared" si="95"/>
        <v>1.5067681660899659E-3</v>
      </c>
      <c r="BX59" s="463">
        <f t="shared" si="45"/>
        <v>0</v>
      </c>
      <c r="BY59" s="463">
        <f t="shared" si="96"/>
        <v>5.6643819634981614E-2</v>
      </c>
      <c r="BZ59" s="463">
        <f t="shared" si="61"/>
        <v>5.0371038387430414E-2</v>
      </c>
      <c r="CA59" s="549">
        <f t="shared" si="97"/>
        <v>4.3200000000000009E-2</v>
      </c>
      <c r="CB59" s="147">
        <f t="shared" si="62"/>
        <v>99.843819634981628</v>
      </c>
      <c r="CC59" s="153">
        <f t="shared" si="63"/>
        <v>0.23373574812844267</v>
      </c>
      <c r="CD59" s="5">
        <f t="shared" si="64"/>
        <v>1.9440000000000002</v>
      </c>
      <c r="CE59" s="153">
        <f t="shared" si="65"/>
        <v>0.89267028916188917</v>
      </c>
      <c r="CF59" s="5">
        <f t="shared" si="66"/>
        <v>89.26702891618892</v>
      </c>
      <c r="CG59">
        <f t="shared" si="102"/>
        <v>54</v>
      </c>
      <c r="CI59" s="59">
        <f t="shared" si="98"/>
        <v>-50</v>
      </c>
      <c r="CJ59">
        <f t="shared" si="99"/>
        <v>-50</v>
      </c>
    </row>
    <row r="60" spans="5:88" x14ac:dyDescent="0.25">
      <c r="E60" s="150">
        <v>55</v>
      </c>
      <c r="F60" s="191">
        <f t="shared" si="103"/>
        <v>5.5000000000000007E-2</v>
      </c>
      <c r="G60" s="191">
        <f t="shared" si="100"/>
        <v>5.5000000000000007E-2</v>
      </c>
      <c r="H60" s="191">
        <f t="shared" si="70"/>
        <v>1.1000000000000001</v>
      </c>
      <c r="I60" s="191">
        <f t="shared" si="104"/>
        <v>0.88000000000000012</v>
      </c>
      <c r="J60" s="472">
        <f t="shared" si="1"/>
        <v>20</v>
      </c>
      <c r="K60" s="386">
        <f t="shared" si="2"/>
        <v>20.32</v>
      </c>
      <c r="L60" s="386">
        <f t="shared" si="3"/>
        <v>40.32</v>
      </c>
      <c r="M60" s="386"/>
      <c r="N60" s="191">
        <f t="shared" si="4"/>
        <v>0.50396825396825395</v>
      </c>
      <c r="O60" s="152">
        <f t="shared" si="101"/>
        <v>1.8898809523809523</v>
      </c>
      <c r="P60" s="152">
        <f t="shared" si="71"/>
        <v>2.7214285714285715</v>
      </c>
      <c r="Q60" s="191">
        <f t="shared" si="6"/>
        <v>9.4494047619047616E-2</v>
      </c>
      <c r="R60" s="191">
        <f t="shared" si="72"/>
        <v>0.11811755952380952</v>
      </c>
      <c r="S60" s="386">
        <f t="shared" si="73"/>
        <v>20</v>
      </c>
      <c r="T60" s="191">
        <f t="shared" si="74"/>
        <v>0.43653543307086617</v>
      </c>
      <c r="U60" s="191">
        <f t="shared" si="10"/>
        <v>3.2740157480314962</v>
      </c>
      <c r="V60" s="191">
        <f t="shared" si="11"/>
        <v>3.2224564449128903</v>
      </c>
      <c r="W60" s="175">
        <f t="shared" si="12"/>
        <v>350</v>
      </c>
      <c r="X60" s="386">
        <f t="shared" si="52"/>
        <v>153.92969758049122</v>
      </c>
      <c r="Z60" s="191">
        <f t="shared" si="13"/>
        <v>0.19198790627362058</v>
      </c>
      <c r="AA60" s="153">
        <f t="shared" si="14"/>
        <v>1.4172335600907029</v>
      </c>
      <c r="AB60" s="153">
        <f t="shared" si="75"/>
        <v>4.7616048182941621E-2</v>
      </c>
      <c r="AC60" s="153"/>
      <c r="AD60" s="153">
        <f t="shared" si="16"/>
        <v>1.1072834645669289</v>
      </c>
      <c r="AE60" s="317">
        <f t="shared" si="76"/>
        <v>662.28148148148159</v>
      </c>
      <c r="AF60" s="463">
        <f t="shared" si="77"/>
        <v>2.9066190944881887E-2</v>
      </c>
      <c r="AH60" s="153">
        <f t="shared" si="78"/>
        <v>0.27464262493023811</v>
      </c>
      <c r="AI60" s="153">
        <f t="shared" si="79"/>
        <v>0.43653543307086617</v>
      </c>
      <c r="AJ60" s="153">
        <f t="shared" si="80"/>
        <v>1.4122484689413823</v>
      </c>
      <c r="AL60" s="317">
        <f t="shared" si="81"/>
        <v>55.000000000000007</v>
      </c>
      <c r="AM60" s="147">
        <f t="shared" si="82"/>
        <v>153.92969758049122</v>
      </c>
      <c r="AO60">
        <f t="shared" si="53"/>
        <v>55.000000000000007</v>
      </c>
      <c r="AP60">
        <f t="shared" si="24"/>
        <v>153.92969758049122</v>
      </c>
      <c r="AR60" s="5">
        <f t="shared" si="54"/>
        <v>6.4964721929443865</v>
      </c>
      <c r="AS60" s="5">
        <f t="shared" si="25"/>
        <v>3.2740157480314962</v>
      </c>
      <c r="AT60" s="5">
        <f t="shared" si="55"/>
        <v>3.2224564449128903</v>
      </c>
      <c r="AU60" s="153">
        <f t="shared" si="56"/>
        <v>0.50396825396825395</v>
      </c>
      <c r="AW60" s="5">
        <f t="shared" si="83"/>
        <v>1.7236920000000002</v>
      </c>
      <c r="AX60" s="5">
        <f t="shared" si="84"/>
        <v>5.3791682999999999</v>
      </c>
      <c r="AY60" s="5">
        <f t="shared" si="85"/>
        <v>1.7372910952321905</v>
      </c>
      <c r="AZ60" s="5">
        <f t="shared" si="86"/>
        <v>3.9320404095108192</v>
      </c>
      <c r="BA60" s="5">
        <f t="shared" si="87"/>
        <v>0.35447020894041797</v>
      </c>
      <c r="BB60" s="147">
        <f t="shared" si="88"/>
        <v>35.77702089404179</v>
      </c>
      <c r="BC60" s="5"/>
      <c r="BD60" s="153">
        <f t="shared" si="57"/>
        <v>0.17892064840369001</v>
      </c>
      <c r="BE60" s="153">
        <f t="shared" si="89"/>
        <v>0.17750623374103244</v>
      </c>
      <c r="BF60" s="153">
        <f t="shared" si="90"/>
        <v>0.17681013086361663</v>
      </c>
      <c r="BG60" s="153"/>
      <c r="BH60" s="463">
        <f t="shared" si="34"/>
        <v>1.1204409448818901E-2</v>
      </c>
      <c r="BI60" s="463">
        <f t="shared" si="35"/>
        <v>1.3546666666666667E-2</v>
      </c>
      <c r="BJ60" s="463">
        <f t="shared" si="36"/>
        <v>1.9241212197561404E-3</v>
      </c>
      <c r="BK60" s="463">
        <f t="shared" si="37"/>
        <v>1.2512193939393941E-2</v>
      </c>
      <c r="BL60">
        <f t="shared" si="38"/>
        <v>5.7999999999999996E-3</v>
      </c>
      <c r="BM60">
        <f t="shared" si="91"/>
        <v>5.7723636592684209E-6</v>
      </c>
      <c r="BN60">
        <f t="shared" si="92"/>
        <v>4.660209539663588E-2</v>
      </c>
      <c r="BO60" s="147">
        <f t="shared" si="58"/>
        <v>46.602095396635882</v>
      </c>
      <c r="BP60" s="153">
        <f t="shared" si="93"/>
        <v>4.5082465744931507E-2</v>
      </c>
      <c r="BQ60" s="153">
        <f t="shared" si="94"/>
        <v>4.4894032295271072E-2</v>
      </c>
      <c r="BR60" s="463"/>
      <c r="BT60" s="147">
        <f t="shared" si="59"/>
        <v>89.976498040202586</v>
      </c>
      <c r="BU60" s="463">
        <f t="shared" si="43"/>
        <v>2.5610078740157489E-2</v>
      </c>
      <c r="BV60" s="463">
        <f t="shared" si="60"/>
        <v>2.5080736561473131E-2</v>
      </c>
      <c r="BW60" s="463">
        <f t="shared" si="95"/>
        <v>1.563091118800462E-3</v>
      </c>
      <c r="BX60" s="463">
        <f t="shared" si="45"/>
        <v>0</v>
      </c>
      <c r="BY60" s="463">
        <f t="shared" si="96"/>
        <v>5.8770052376258257E-2</v>
      </c>
      <c r="BZ60" s="463">
        <f t="shared" si="61"/>
        <v>5.2253906420431089E-2</v>
      </c>
      <c r="CA60" s="549">
        <f t="shared" si="97"/>
        <v>4.3999999999999997E-2</v>
      </c>
      <c r="CB60" s="147">
        <f t="shared" si="62"/>
        <v>102.77005237625825</v>
      </c>
      <c r="CC60" s="153">
        <f t="shared" si="63"/>
        <v>0.23934864581309673</v>
      </c>
      <c r="CD60" s="5">
        <f t="shared" si="64"/>
        <v>1.9800000000000002</v>
      </c>
      <c r="CE60" s="153">
        <f t="shared" si="65"/>
        <v>0.89215365225980203</v>
      </c>
      <c r="CF60" s="5">
        <f t="shared" si="66"/>
        <v>89.215365225980207</v>
      </c>
      <c r="CG60">
        <f t="shared" si="102"/>
        <v>55.000000000000007</v>
      </c>
      <c r="CI60" s="59">
        <f t="shared" si="98"/>
        <v>-50</v>
      </c>
      <c r="CJ60">
        <f t="shared" si="99"/>
        <v>-50</v>
      </c>
    </row>
    <row r="61" spans="5:88" x14ac:dyDescent="0.25">
      <c r="E61" s="150">
        <v>56</v>
      </c>
      <c r="F61" s="191">
        <f t="shared" si="103"/>
        <v>5.6000000000000008E-2</v>
      </c>
      <c r="G61" s="191">
        <f t="shared" si="100"/>
        <v>5.6000000000000008E-2</v>
      </c>
      <c r="H61" s="191">
        <f t="shared" si="70"/>
        <v>1.1200000000000001</v>
      </c>
      <c r="I61" s="191">
        <f t="shared" si="104"/>
        <v>0.89600000000000013</v>
      </c>
      <c r="J61" s="472">
        <f t="shared" si="1"/>
        <v>20</v>
      </c>
      <c r="K61" s="386">
        <f t="shared" si="2"/>
        <v>20.32</v>
      </c>
      <c r="L61" s="386">
        <f t="shared" si="3"/>
        <v>40.32</v>
      </c>
      <c r="M61" s="386"/>
      <c r="N61" s="191">
        <f t="shared" si="4"/>
        <v>0.50396825396825395</v>
      </c>
      <c r="O61" s="152">
        <f t="shared" si="101"/>
        <v>1.8898809523809523</v>
      </c>
      <c r="P61" s="152">
        <f t="shared" si="71"/>
        <v>2.7214285714285715</v>
      </c>
      <c r="Q61" s="191">
        <f t="shared" si="6"/>
        <v>9.4494047619047616E-2</v>
      </c>
      <c r="R61" s="191">
        <f t="shared" si="72"/>
        <v>0.11811755952380952</v>
      </c>
      <c r="S61" s="386">
        <f t="shared" si="73"/>
        <v>20</v>
      </c>
      <c r="T61" s="191">
        <f t="shared" si="74"/>
        <v>0.44447244094488192</v>
      </c>
      <c r="U61" s="191">
        <f t="shared" si="10"/>
        <v>3.3335433070866141</v>
      </c>
      <c r="V61" s="191">
        <f t="shared" si="11"/>
        <v>3.2810465620931244</v>
      </c>
      <c r="W61" s="175">
        <f t="shared" si="12"/>
        <v>350</v>
      </c>
      <c r="X61" s="386">
        <f t="shared" si="52"/>
        <v>151.18095298083961</v>
      </c>
      <c r="Z61" s="191">
        <f t="shared" si="13"/>
        <v>0.19198790627362058</v>
      </c>
      <c r="AA61" s="153">
        <f t="shared" si="14"/>
        <v>1.4172335600907029</v>
      </c>
      <c r="AB61" s="153">
        <f t="shared" si="75"/>
        <v>4.7616048182941621E-2</v>
      </c>
      <c r="AC61" s="153"/>
      <c r="AD61" s="153">
        <f t="shared" si="16"/>
        <v>1.1072834645669289</v>
      </c>
      <c r="AE61" s="317">
        <f t="shared" si="76"/>
        <v>674.32296296296317</v>
      </c>
      <c r="AF61" s="463">
        <f t="shared" si="77"/>
        <v>2.9066190944881887E-2</v>
      </c>
      <c r="AH61" s="153">
        <f t="shared" si="78"/>
        <v>0.27712812921102037</v>
      </c>
      <c r="AI61" s="153">
        <f t="shared" si="79"/>
        <v>0.44447244094488192</v>
      </c>
      <c r="AJ61" s="153">
        <f t="shared" si="80"/>
        <v>1.4181277340332459</v>
      </c>
      <c r="AL61" s="317">
        <f t="shared" si="81"/>
        <v>56.000000000000007</v>
      </c>
      <c r="AM61" s="147">
        <f t="shared" si="82"/>
        <v>151.18095298083961</v>
      </c>
      <c r="AO61">
        <f t="shared" si="53"/>
        <v>56.000000000000007</v>
      </c>
      <c r="AP61">
        <f t="shared" si="24"/>
        <v>151.18095298083961</v>
      </c>
      <c r="AR61" s="5">
        <f t="shared" si="54"/>
        <v>6.6145898691797385</v>
      </c>
      <c r="AS61" s="5">
        <f t="shared" si="25"/>
        <v>3.3335433070866141</v>
      </c>
      <c r="AT61" s="5">
        <f t="shared" si="55"/>
        <v>3.2810465620931244</v>
      </c>
      <c r="AU61" s="153">
        <f t="shared" si="56"/>
        <v>0.50396825396825395</v>
      </c>
      <c r="AW61" s="5">
        <f t="shared" si="83"/>
        <v>1.7236920000000002</v>
      </c>
      <c r="AX61" s="5">
        <f t="shared" si="84"/>
        <v>5.5734981120000011</v>
      </c>
      <c r="AY61" s="5">
        <f t="shared" si="85"/>
        <v>1.7372910952321905</v>
      </c>
      <c r="AZ61" s="5">
        <f t="shared" si="86"/>
        <v>4.0742871815622905</v>
      </c>
      <c r="BA61" s="5">
        <f t="shared" si="87"/>
        <v>0.36747721495442992</v>
      </c>
      <c r="BB61" s="147">
        <f t="shared" si="88"/>
        <v>37.083721495442994</v>
      </c>
      <c r="BC61" s="5"/>
      <c r="BD61" s="153">
        <f t="shared" si="57"/>
        <v>0.18217375110193892</v>
      </c>
      <c r="BE61" s="153">
        <f t="shared" si="89"/>
        <v>0.1807336198090512</v>
      </c>
      <c r="BF61" s="153">
        <f t="shared" si="90"/>
        <v>0.18002486051568239</v>
      </c>
      <c r="BG61" s="153"/>
      <c r="BH61" s="463">
        <f t="shared" si="34"/>
        <v>1.1615546456692917E-2</v>
      </c>
      <c r="BI61" s="463">
        <f t="shared" si="35"/>
        <v>1.3546666666666667E-2</v>
      </c>
      <c r="BJ61" s="463">
        <f t="shared" si="36"/>
        <v>1.889761912260495E-3</v>
      </c>
      <c r="BK61" s="463">
        <f t="shared" si="37"/>
        <v>1.2288761904761906E-2</v>
      </c>
      <c r="BL61">
        <f t="shared" si="38"/>
        <v>5.7999999999999996E-3</v>
      </c>
      <c r="BM61">
        <f t="shared" si="91"/>
        <v>5.6692857367814853E-6</v>
      </c>
      <c r="BN61">
        <f t="shared" si="92"/>
        <v>4.6814832382015302E-2</v>
      </c>
      <c r="BO61" s="147">
        <f t="shared" si="58"/>
        <v>46.814832382015304</v>
      </c>
      <c r="BP61" s="153">
        <f t="shared" si="93"/>
        <v>4.6347785975571966E-2</v>
      </c>
      <c r="BQ61" s="153">
        <f t="shared" si="94"/>
        <v>4.6152438108419853E-2</v>
      </c>
      <c r="BR61" s="463"/>
      <c r="BT61" s="147">
        <f t="shared" si="59"/>
        <v>92.500224083991824</v>
      </c>
      <c r="BU61" s="463">
        <f t="shared" si="43"/>
        <v>2.6549820472440956E-2</v>
      </c>
      <c r="BV61" s="463">
        <f t="shared" si="60"/>
        <v>2.6001054498109001E-2</v>
      </c>
      <c r="BW61" s="463">
        <f t="shared" si="95"/>
        <v>1.6204475201845451E-3</v>
      </c>
      <c r="BX61" s="463">
        <f t="shared" si="45"/>
        <v>0</v>
      </c>
      <c r="BY61" s="463">
        <f t="shared" si="96"/>
        <v>6.0935959711608242E-2</v>
      </c>
      <c r="BZ61" s="463">
        <f t="shared" si="61"/>
        <v>5.4171322490734503E-2</v>
      </c>
      <c r="CA61" s="549">
        <f t="shared" si="97"/>
        <v>4.4800000000000013E-2</v>
      </c>
      <c r="CB61" s="147">
        <f t="shared" si="62"/>
        <v>105.73595971160826</v>
      </c>
      <c r="CC61" s="153">
        <f t="shared" si="63"/>
        <v>0.24505101617761538</v>
      </c>
      <c r="CD61" s="5">
        <f t="shared" si="64"/>
        <v>2.016</v>
      </c>
      <c r="CE61" s="153">
        <f t="shared" si="65"/>
        <v>0.89162074874724295</v>
      </c>
      <c r="CF61" s="5">
        <f t="shared" si="66"/>
        <v>89.162074874724297</v>
      </c>
      <c r="CG61">
        <f t="shared" si="102"/>
        <v>56.000000000000007</v>
      </c>
      <c r="CI61" s="59">
        <f t="shared" si="98"/>
        <v>-50</v>
      </c>
      <c r="CJ61">
        <f t="shared" si="99"/>
        <v>-50</v>
      </c>
    </row>
    <row r="62" spans="5:88" x14ac:dyDescent="0.25">
      <c r="E62" s="150">
        <v>57</v>
      </c>
      <c r="F62" s="191">
        <f t="shared" si="103"/>
        <v>5.6999999999999995E-2</v>
      </c>
      <c r="G62" s="191">
        <f t="shared" si="100"/>
        <v>5.6999999999999995E-2</v>
      </c>
      <c r="H62" s="191">
        <f t="shared" si="70"/>
        <v>1.1399999999999999</v>
      </c>
      <c r="I62" s="191">
        <f t="shared" si="104"/>
        <v>0.91199999999999992</v>
      </c>
      <c r="J62" s="472">
        <f t="shared" si="1"/>
        <v>20</v>
      </c>
      <c r="K62" s="386">
        <f t="shared" si="2"/>
        <v>20.32</v>
      </c>
      <c r="L62" s="386">
        <f t="shared" si="3"/>
        <v>40.32</v>
      </c>
      <c r="M62" s="386"/>
      <c r="N62" s="191">
        <f t="shared" si="4"/>
        <v>0.50396825396825395</v>
      </c>
      <c r="O62" s="152">
        <f t="shared" si="101"/>
        <v>1.8898809523809523</v>
      </c>
      <c r="P62" s="152">
        <f t="shared" si="71"/>
        <v>2.7214285714285715</v>
      </c>
      <c r="Q62" s="191">
        <f t="shared" si="6"/>
        <v>9.4494047619047616E-2</v>
      </c>
      <c r="R62" s="191">
        <f t="shared" si="72"/>
        <v>0.11811755952380952</v>
      </c>
      <c r="S62" s="386">
        <f t="shared" si="73"/>
        <v>20</v>
      </c>
      <c r="T62" s="191">
        <f t="shared" si="74"/>
        <v>0.45240944881889755</v>
      </c>
      <c r="U62" s="191">
        <f t="shared" si="10"/>
        <v>3.393070866141731</v>
      </c>
      <c r="V62" s="191">
        <f t="shared" si="11"/>
        <v>3.3396366792733572</v>
      </c>
      <c r="W62" s="175">
        <f t="shared" si="12"/>
        <v>350</v>
      </c>
      <c r="X62" s="386">
        <f t="shared" si="52"/>
        <v>148.52865556012318</v>
      </c>
      <c r="Z62" s="191">
        <f t="shared" si="13"/>
        <v>0.19198790627362058</v>
      </c>
      <c r="AA62" s="153">
        <f t="shared" si="14"/>
        <v>1.4172335600907029</v>
      </c>
      <c r="AB62" s="153">
        <f t="shared" si="75"/>
        <v>4.7616048182941621E-2</v>
      </c>
      <c r="AC62" s="153"/>
      <c r="AD62" s="153">
        <f t="shared" si="16"/>
        <v>1.1072834645669289</v>
      </c>
      <c r="AE62" s="317">
        <f t="shared" si="76"/>
        <v>686.36444444444442</v>
      </c>
      <c r="AF62" s="463">
        <f t="shared" si="77"/>
        <v>2.9066190944881887E-2</v>
      </c>
      <c r="AH62" s="153">
        <f t="shared" si="78"/>
        <v>0.27959153880514442</v>
      </c>
      <c r="AI62" s="153">
        <f t="shared" si="79"/>
        <v>0.45240944881889755</v>
      </c>
      <c r="AJ62" s="153">
        <f t="shared" si="80"/>
        <v>1.4240069991251092</v>
      </c>
      <c r="AL62" s="317">
        <f t="shared" si="81"/>
        <v>56.999999999999993</v>
      </c>
      <c r="AM62" s="147">
        <f t="shared" si="82"/>
        <v>148.52865556012318</v>
      </c>
      <c r="AO62">
        <f t="shared" si="53"/>
        <v>56.999999999999993</v>
      </c>
      <c r="AP62">
        <f t="shared" si="24"/>
        <v>148.52865556012318</v>
      </c>
      <c r="AR62" s="5">
        <f t="shared" si="54"/>
        <v>6.7327075454150878</v>
      </c>
      <c r="AS62" s="5">
        <f t="shared" si="25"/>
        <v>3.393070866141731</v>
      </c>
      <c r="AT62" s="5">
        <f t="shared" si="55"/>
        <v>3.3396366792733567</v>
      </c>
      <c r="AU62" s="153">
        <f t="shared" si="56"/>
        <v>0.50396825396825407</v>
      </c>
      <c r="AW62" s="5">
        <f t="shared" si="83"/>
        <v>1.7236920000000002</v>
      </c>
      <c r="AX62" s="5">
        <f t="shared" si="84"/>
        <v>5.771275307999999</v>
      </c>
      <c r="AY62" s="5">
        <f t="shared" si="85"/>
        <v>1.7372910952321905</v>
      </c>
      <c r="AZ62" s="5">
        <f t="shared" si="86"/>
        <v>4.2190609224795521</v>
      </c>
      <c r="BA62" s="5">
        <f t="shared" si="87"/>
        <v>0.38071858143716253</v>
      </c>
      <c r="BB62" s="147">
        <f t="shared" si="88"/>
        <v>38.413858143716261</v>
      </c>
      <c r="BC62" s="5"/>
      <c r="BD62" s="153">
        <f t="shared" si="57"/>
        <v>0.18542685380018778</v>
      </c>
      <c r="BE62" s="153">
        <f t="shared" si="89"/>
        <v>0.1839610058770699</v>
      </c>
      <c r="BF62" s="153">
        <f t="shared" si="90"/>
        <v>0.18323959016774807</v>
      </c>
      <c r="BG62" s="153"/>
      <c r="BH62" s="463">
        <f t="shared" si="34"/>
        <v>1.2034091338582674E-2</v>
      </c>
      <c r="BI62" s="463">
        <f t="shared" si="35"/>
        <v>1.354666666666667E-2</v>
      </c>
      <c r="BJ62" s="463">
        <f t="shared" si="36"/>
        <v>1.8566081945015397E-3</v>
      </c>
      <c r="BK62" s="463">
        <f t="shared" si="37"/>
        <v>1.2073169590643282E-2</v>
      </c>
      <c r="BL62">
        <f t="shared" si="38"/>
        <v>5.7999999999999996E-3</v>
      </c>
      <c r="BM62">
        <f t="shared" si="91"/>
        <v>5.5698245835046194E-6</v>
      </c>
      <c r="BN62">
        <f t="shared" si="92"/>
        <v>4.704516184110636E-2</v>
      </c>
      <c r="BO62" s="147">
        <f t="shared" si="58"/>
        <v>47.045161841106363</v>
      </c>
      <c r="BP62" s="153">
        <f t="shared" si="93"/>
        <v>4.762902188604376E-2</v>
      </c>
      <c r="BQ62" s="153">
        <f t="shared" si="94"/>
        <v>4.742663501730103E-2</v>
      </c>
      <c r="BR62" s="463"/>
      <c r="BT62" s="147">
        <f t="shared" si="59"/>
        <v>95.055656903344797</v>
      </c>
      <c r="BU62" s="463">
        <f t="shared" si="43"/>
        <v>2.7506494488188971E-2</v>
      </c>
      <c r="BV62" s="463">
        <f t="shared" si="60"/>
        <v>2.6937954739909464E-2</v>
      </c>
      <c r="BW62" s="463">
        <f t="shared" si="95"/>
        <v>1.6788373702422137E-3</v>
      </c>
      <c r="BX62" s="463">
        <f t="shared" si="45"/>
        <v>0</v>
      </c>
      <c r="BY62" s="463">
        <f t="shared" si="96"/>
        <v>6.3141578020502825E-2</v>
      </c>
      <c r="BZ62" s="463">
        <f t="shared" si="61"/>
        <v>5.6123286598340649E-2</v>
      </c>
      <c r="CA62" s="549">
        <f t="shared" si="97"/>
        <v>4.5600000000000002E-2</v>
      </c>
      <c r="CB62" s="147">
        <f t="shared" si="62"/>
        <v>108.74157802050283</v>
      </c>
      <c r="CC62" s="153">
        <f t="shared" si="63"/>
        <v>0.25084239676495396</v>
      </c>
      <c r="CD62" s="5">
        <f t="shared" si="64"/>
        <v>2.0519999999999996</v>
      </c>
      <c r="CE62" s="153">
        <f t="shared" si="65"/>
        <v>0.89107270340456701</v>
      </c>
      <c r="CF62" s="5">
        <f t="shared" si="66"/>
        <v>89.107270340456708</v>
      </c>
      <c r="CG62">
        <f t="shared" si="102"/>
        <v>56.999999999999993</v>
      </c>
      <c r="CI62" s="59">
        <f t="shared" si="98"/>
        <v>-50</v>
      </c>
      <c r="CJ62">
        <f t="shared" si="99"/>
        <v>-50</v>
      </c>
    </row>
    <row r="63" spans="5:88" x14ac:dyDescent="0.25">
      <c r="E63" s="150">
        <v>58</v>
      </c>
      <c r="F63" s="191">
        <f t="shared" si="103"/>
        <v>5.7999999999999996E-2</v>
      </c>
      <c r="G63" s="191">
        <f t="shared" si="100"/>
        <v>5.7999999999999996E-2</v>
      </c>
      <c r="H63" s="191">
        <f t="shared" si="70"/>
        <v>1.1599999999999999</v>
      </c>
      <c r="I63" s="191">
        <f t="shared" si="104"/>
        <v>0.92799999999999994</v>
      </c>
      <c r="J63" s="472">
        <f t="shared" si="1"/>
        <v>20</v>
      </c>
      <c r="K63" s="386">
        <f t="shared" si="2"/>
        <v>20.32</v>
      </c>
      <c r="L63" s="386">
        <f t="shared" si="3"/>
        <v>40.32</v>
      </c>
      <c r="M63" s="386"/>
      <c r="N63" s="191">
        <f t="shared" si="4"/>
        <v>0.50396825396825395</v>
      </c>
      <c r="O63" s="152">
        <f t="shared" si="101"/>
        <v>1.8898809523809523</v>
      </c>
      <c r="P63" s="152">
        <f t="shared" si="71"/>
        <v>2.7214285714285715</v>
      </c>
      <c r="Q63" s="191">
        <f t="shared" si="6"/>
        <v>9.4494047619047616E-2</v>
      </c>
      <c r="R63" s="191">
        <f t="shared" si="72"/>
        <v>0.11811755952380952</v>
      </c>
      <c r="S63" s="386">
        <f t="shared" si="73"/>
        <v>20</v>
      </c>
      <c r="T63" s="191">
        <f t="shared" si="74"/>
        <v>0.46034645669291341</v>
      </c>
      <c r="U63" s="191">
        <f t="shared" si="10"/>
        <v>3.4525984251968498</v>
      </c>
      <c r="V63" s="191">
        <f t="shared" si="11"/>
        <v>3.3982267964535926</v>
      </c>
      <c r="W63" s="175">
        <f t="shared" si="12"/>
        <v>350</v>
      </c>
      <c r="X63" s="386">
        <f t="shared" si="52"/>
        <v>145.9678166711555</v>
      </c>
      <c r="Z63" s="191">
        <f t="shared" si="13"/>
        <v>0.19198790627362058</v>
      </c>
      <c r="AA63" s="153">
        <f t="shared" si="14"/>
        <v>1.4172335600907029</v>
      </c>
      <c r="AB63" s="153">
        <f t="shared" si="75"/>
        <v>4.7616048182941621E-2</v>
      </c>
      <c r="AC63" s="153"/>
      <c r="AD63" s="153">
        <f t="shared" si="16"/>
        <v>1.1072834645669289</v>
      </c>
      <c r="AE63" s="317">
        <f t="shared" si="76"/>
        <v>698.405925925926</v>
      </c>
      <c r="AF63" s="463">
        <f t="shared" si="77"/>
        <v>2.9066190944881887E-2</v>
      </c>
      <c r="AH63" s="153">
        <f t="shared" si="78"/>
        <v>0.2820334326686415</v>
      </c>
      <c r="AI63" s="153">
        <f t="shared" si="79"/>
        <v>0.46034645669291341</v>
      </c>
      <c r="AJ63" s="153">
        <f t="shared" si="80"/>
        <v>1.429886264216973</v>
      </c>
      <c r="AL63" s="317">
        <f t="shared" si="81"/>
        <v>57.999999999999993</v>
      </c>
      <c r="AM63" s="147">
        <f t="shared" si="82"/>
        <v>145.9678166711555</v>
      </c>
      <c r="AO63">
        <f t="shared" si="53"/>
        <v>57.999999999999993</v>
      </c>
      <c r="AP63">
        <f t="shared" si="24"/>
        <v>145.9678166711555</v>
      </c>
      <c r="AR63" s="5">
        <f t="shared" si="54"/>
        <v>6.8508252216504424</v>
      </c>
      <c r="AS63" s="5">
        <f t="shared" si="25"/>
        <v>3.4525984251968498</v>
      </c>
      <c r="AT63" s="5">
        <f t="shared" si="55"/>
        <v>3.3982267964535926</v>
      </c>
      <c r="AU63" s="153">
        <f t="shared" si="56"/>
        <v>0.50396825396825395</v>
      </c>
      <c r="AW63" s="5">
        <f t="shared" si="83"/>
        <v>1.7236920000000002</v>
      </c>
      <c r="AX63" s="5">
        <f t="shared" si="84"/>
        <v>5.9724998879999989</v>
      </c>
      <c r="AY63" s="5">
        <f t="shared" si="85"/>
        <v>1.7372910952321905</v>
      </c>
      <c r="AZ63" s="5">
        <f t="shared" si="86"/>
        <v>4.3663616322626089</v>
      </c>
      <c r="BA63" s="5">
        <f t="shared" si="87"/>
        <v>0.39419430838861669</v>
      </c>
      <c r="BB63" s="147">
        <f t="shared" si="88"/>
        <v>39.767430838861671</v>
      </c>
      <c r="BC63" s="5"/>
      <c r="BD63" s="153">
        <f t="shared" si="57"/>
        <v>0.18867995649843672</v>
      </c>
      <c r="BE63" s="153">
        <f t="shared" si="89"/>
        <v>0.18718839194508874</v>
      </c>
      <c r="BF63" s="153">
        <f t="shared" si="90"/>
        <v>0.18645431981981389</v>
      </c>
      <c r="BG63" s="153"/>
      <c r="BH63" s="463">
        <f t="shared" si="34"/>
        <v>1.246004409448819E-2</v>
      </c>
      <c r="BI63" s="463">
        <f t="shared" si="35"/>
        <v>1.354666666666667E-2</v>
      </c>
      <c r="BJ63" s="463">
        <f t="shared" si="36"/>
        <v>1.8245977083894437E-3</v>
      </c>
      <c r="BK63" s="463">
        <f t="shared" si="37"/>
        <v>1.1865011494252878E-2</v>
      </c>
      <c r="BL63">
        <f t="shared" si="38"/>
        <v>5.7999999999999996E-3</v>
      </c>
      <c r="BM63">
        <f t="shared" si="91"/>
        <v>5.4737931251683312E-6</v>
      </c>
      <c r="BN63">
        <f t="shared" si="92"/>
        <v>4.7292619679025719E-2</v>
      </c>
      <c r="BO63" s="147">
        <f t="shared" si="58"/>
        <v>47.292619679025719</v>
      </c>
      <c r="BP63" s="153">
        <f t="shared" si="93"/>
        <v>4.8926173476346951E-2</v>
      </c>
      <c r="BQ63" s="153">
        <f t="shared" si="94"/>
        <v>4.8716623021914658E-2</v>
      </c>
      <c r="BR63" s="463"/>
      <c r="BT63" s="147">
        <f t="shared" si="59"/>
        <v>97.642796498261603</v>
      </c>
      <c r="BU63" s="463">
        <f t="shared" si="43"/>
        <v>2.8480100787401583E-2</v>
      </c>
      <c r="BV63" s="463">
        <f t="shared" si="60"/>
        <v>2.7891437286874578E-2</v>
      </c>
      <c r="BW63" s="463">
        <f t="shared" si="95"/>
        <v>1.7382606689734723E-3</v>
      </c>
      <c r="BX63" s="463">
        <f t="shared" si="45"/>
        <v>0</v>
      </c>
      <c r="BY63" s="463">
        <f t="shared" si="96"/>
        <v>6.5386944366646146E-2</v>
      </c>
      <c r="BZ63" s="463">
        <f t="shared" si="61"/>
        <v>5.8109798743249633E-2</v>
      </c>
      <c r="CA63" s="549">
        <f t="shared" si="97"/>
        <v>4.6400000000000011E-2</v>
      </c>
      <c r="CB63" s="147">
        <f t="shared" si="62"/>
        <v>111.78694436664615</v>
      </c>
      <c r="CC63" s="153">
        <f t="shared" si="63"/>
        <v>0.25672236054393349</v>
      </c>
      <c r="CD63" s="5">
        <f t="shared" si="64"/>
        <v>2.0880000000000001</v>
      </c>
      <c r="CE63" s="153">
        <f t="shared" si="65"/>
        <v>0.89051055047541816</v>
      </c>
      <c r="CF63" s="5">
        <f t="shared" si="66"/>
        <v>89.051055047541823</v>
      </c>
      <c r="CG63">
        <f t="shared" si="102"/>
        <v>57.999999999999993</v>
      </c>
      <c r="CI63" s="59">
        <f t="shared" si="98"/>
        <v>-50</v>
      </c>
      <c r="CJ63">
        <f t="shared" si="99"/>
        <v>-50</v>
      </c>
    </row>
    <row r="64" spans="5:88" x14ac:dyDescent="0.25">
      <c r="E64" s="150">
        <v>59</v>
      </c>
      <c r="F64" s="191">
        <f t="shared" si="103"/>
        <v>5.8999999999999997E-2</v>
      </c>
      <c r="G64" s="191">
        <f t="shared" si="100"/>
        <v>5.8999999999999997E-2</v>
      </c>
      <c r="H64" s="191">
        <f t="shared" si="70"/>
        <v>1.18</v>
      </c>
      <c r="I64" s="191">
        <f t="shared" si="104"/>
        <v>0.94399999999999995</v>
      </c>
      <c r="J64" s="472">
        <f t="shared" si="1"/>
        <v>20</v>
      </c>
      <c r="K64" s="386">
        <f t="shared" si="2"/>
        <v>20.32</v>
      </c>
      <c r="L64" s="386">
        <f t="shared" si="3"/>
        <v>40.32</v>
      </c>
      <c r="M64" s="386"/>
      <c r="N64" s="191">
        <f t="shared" si="4"/>
        <v>0.50396825396825395</v>
      </c>
      <c r="O64" s="152">
        <f t="shared" si="101"/>
        <v>1.8898809523809523</v>
      </c>
      <c r="P64" s="152">
        <f t="shared" si="71"/>
        <v>2.7214285714285715</v>
      </c>
      <c r="Q64" s="191">
        <f t="shared" si="6"/>
        <v>9.4494047619047616E-2</v>
      </c>
      <c r="R64" s="191">
        <f t="shared" si="72"/>
        <v>0.11811755952380952</v>
      </c>
      <c r="S64" s="386">
        <f t="shared" si="73"/>
        <v>20</v>
      </c>
      <c r="T64" s="191">
        <f t="shared" si="74"/>
        <v>0.4682834645669291</v>
      </c>
      <c r="U64" s="191">
        <f t="shared" si="10"/>
        <v>3.5121259842519676</v>
      </c>
      <c r="V64" s="191">
        <f t="shared" si="11"/>
        <v>3.4568169136338267</v>
      </c>
      <c r="W64" s="175">
        <f t="shared" si="12"/>
        <v>350</v>
      </c>
      <c r="X64" s="386">
        <f t="shared" si="52"/>
        <v>143.49378588011896</v>
      </c>
      <c r="Z64" s="191">
        <f t="shared" si="13"/>
        <v>0.19198790627362058</v>
      </c>
      <c r="AA64" s="153">
        <f t="shared" si="14"/>
        <v>1.4172335600907029</v>
      </c>
      <c r="AB64" s="153">
        <f t="shared" si="75"/>
        <v>4.7616048182941621E-2</v>
      </c>
      <c r="AC64" s="153"/>
      <c r="AD64" s="153">
        <f t="shared" si="16"/>
        <v>1.1072834645669289</v>
      </c>
      <c r="AE64" s="317">
        <f t="shared" si="76"/>
        <v>710.44740740740747</v>
      </c>
      <c r="AF64" s="463">
        <f t="shared" si="77"/>
        <v>2.9066190944881887E-2</v>
      </c>
      <c r="AH64" s="153">
        <f t="shared" si="78"/>
        <v>0.28445436490636899</v>
      </c>
      <c r="AI64" s="153">
        <f t="shared" si="79"/>
        <v>0.4682834645669291</v>
      </c>
      <c r="AJ64" s="153">
        <f t="shared" si="80"/>
        <v>1.4357655293088363</v>
      </c>
      <c r="AL64" s="317">
        <f t="shared" si="81"/>
        <v>59</v>
      </c>
      <c r="AM64" s="147">
        <f t="shared" si="82"/>
        <v>143.49378588011896</v>
      </c>
      <c r="AO64">
        <f t="shared" si="53"/>
        <v>59</v>
      </c>
      <c r="AP64">
        <f t="shared" si="24"/>
        <v>143.49378588011896</v>
      </c>
      <c r="AR64" s="5">
        <f t="shared" si="54"/>
        <v>6.9689428978857952</v>
      </c>
      <c r="AS64" s="5">
        <f t="shared" si="25"/>
        <v>3.5121259842519676</v>
      </c>
      <c r="AT64" s="5">
        <f t="shared" si="55"/>
        <v>3.4568169136338276</v>
      </c>
      <c r="AU64" s="153">
        <f t="shared" si="56"/>
        <v>0.50396825396825384</v>
      </c>
      <c r="AW64" s="5">
        <f t="shared" si="83"/>
        <v>1.7236920000000002</v>
      </c>
      <c r="AX64" s="5">
        <f t="shared" si="84"/>
        <v>6.177171851999999</v>
      </c>
      <c r="AY64" s="5">
        <f t="shared" si="85"/>
        <v>1.7372910952321905</v>
      </c>
      <c r="AZ64" s="5">
        <f t="shared" si="86"/>
        <v>4.5161893109114573</v>
      </c>
      <c r="BA64" s="5">
        <f t="shared" si="87"/>
        <v>0.40790439580879156</v>
      </c>
      <c r="BB64" s="147">
        <f t="shared" si="88"/>
        <v>41.144439580879158</v>
      </c>
      <c r="BC64" s="5"/>
      <c r="BD64" s="153">
        <f t="shared" si="57"/>
        <v>0.19193305919668557</v>
      </c>
      <c r="BE64" s="153">
        <f t="shared" si="89"/>
        <v>0.1904157780131075</v>
      </c>
      <c r="BF64" s="153">
        <f t="shared" si="90"/>
        <v>0.18966904947187965</v>
      </c>
      <c r="BG64" s="153"/>
      <c r="BH64" s="463">
        <f t="shared" si="34"/>
        <v>1.2893404724409443E-2</v>
      </c>
      <c r="BI64" s="463">
        <f t="shared" si="35"/>
        <v>1.3546666666666667E-2</v>
      </c>
      <c r="BJ64" s="463">
        <f t="shared" si="36"/>
        <v>1.7936723235014869E-3</v>
      </c>
      <c r="BK64" s="463">
        <f t="shared" si="37"/>
        <v>1.1663909604519778E-2</v>
      </c>
      <c r="BL64">
        <f t="shared" si="38"/>
        <v>5.7999999999999996E-3</v>
      </c>
      <c r="BM64">
        <f t="shared" si="91"/>
        <v>5.3810169705044608E-6</v>
      </c>
      <c r="BN64">
        <f t="shared" si="92"/>
        <v>4.7556773604450243E-2</v>
      </c>
      <c r="BO64" s="147">
        <f t="shared" si="58"/>
        <v>47.556773604450242</v>
      </c>
      <c r="BP64" s="153">
        <f t="shared" si="93"/>
        <v>5.0239240746481492E-2</v>
      </c>
      <c r="BQ64" s="153">
        <f t="shared" si="94"/>
        <v>5.0022402122260681E-2</v>
      </c>
      <c r="BR64" s="463"/>
      <c r="BT64" s="147">
        <f t="shared" si="59"/>
        <v>100.26164286874217</v>
      </c>
      <c r="BU64" s="463">
        <f t="shared" si="43"/>
        <v>2.9470639370078728E-2</v>
      </c>
      <c r="BV64" s="463">
        <f t="shared" si="60"/>
        <v>2.8861502139004278E-2</v>
      </c>
      <c r="BW64" s="463">
        <f t="shared" si="95"/>
        <v>1.7987174163783166E-3</v>
      </c>
      <c r="BX64" s="463">
        <f t="shared" si="45"/>
        <v>0</v>
      </c>
      <c r="BY64" s="463">
        <f t="shared" si="96"/>
        <v>6.7672096499541021E-2</v>
      </c>
      <c r="BZ64" s="463">
        <f t="shared" si="61"/>
        <v>6.0130858925461321E-2</v>
      </c>
      <c r="CA64" s="549">
        <f t="shared" si="97"/>
        <v>4.7199999999999999E-2</v>
      </c>
      <c r="CB64" s="147">
        <f t="shared" si="62"/>
        <v>114.87209649954103</v>
      </c>
      <c r="CC64" s="153">
        <f t="shared" si="63"/>
        <v>0.26269051297273349</v>
      </c>
      <c r="CD64" s="5">
        <f t="shared" si="64"/>
        <v>2.1239999999999997</v>
      </c>
      <c r="CE64" s="153">
        <f t="shared" si="65"/>
        <v>0.88993524231780663</v>
      </c>
      <c r="CF64" s="5">
        <f t="shared" si="66"/>
        <v>88.993524231780668</v>
      </c>
      <c r="CG64">
        <f t="shared" si="102"/>
        <v>59</v>
      </c>
      <c r="CI64" s="59">
        <f t="shared" si="98"/>
        <v>-50</v>
      </c>
      <c r="CJ64">
        <f t="shared" si="99"/>
        <v>-50</v>
      </c>
    </row>
    <row r="65" spans="5:88" x14ac:dyDescent="0.25">
      <c r="E65" s="150">
        <v>60</v>
      </c>
      <c r="F65" s="191">
        <f t="shared" si="103"/>
        <v>0.06</v>
      </c>
      <c r="G65" s="191">
        <f t="shared" si="100"/>
        <v>0.06</v>
      </c>
      <c r="H65" s="191">
        <f t="shared" si="70"/>
        <v>1.2</v>
      </c>
      <c r="I65" s="191">
        <f t="shared" si="104"/>
        <v>0.96</v>
      </c>
      <c r="J65" s="472">
        <f t="shared" si="1"/>
        <v>20</v>
      </c>
      <c r="K65" s="386">
        <f t="shared" si="2"/>
        <v>20.32</v>
      </c>
      <c r="L65" s="386">
        <f t="shared" si="3"/>
        <v>40.32</v>
      </c>
      <c r="M65" s="386"/>
      <c r="N65" s="191">
        <f t="shared" si="4"/>
        <v>0.50396825396825395</v>
      </c>
      <c r="O65" s="152">
        <f t="shared" si="101"/>
        <v>1.8898809523809523</v>
      </c>
      <c r="P65" s="152">
        <f t="shared" si="71"/>
        <v>2.7214285714285715</v>
      </c>
      <c r="Q65" s="191">
        <f t="shared" si="6"/>
        <v>9.4494047619047616E-2</v>
      </c>
      <c r="R65" s="191">
        <f t="shared" si="72"/>
        <v>0.11811755952380952</v>
      </c>
      <c r="S65" s="386">
        <f t="shared" si="73"/>
        <v>20</v>
      </c>
      <c r="T65" s="191">
        <f t="shared" si="74"/>
        <v>0.47622047244094495</v>
      </c>
      <c r="U65" s="191">
        <f t="shared" si="10"/>
        <v>3.5716535433070868</v>
      </c>
      <c r="V65" s="191">
        <f t="shared" si="11"/>
        <v>3.5154070308140617</v>
      </c>
      <c r="W65" s="175">
        <f t="shared" si="12"/>
        <v>350</v>
      </c>
      <c r="X65" s="386">
        <f t="shared" si="52"/>
        <v>141.10222278211697</v>
      </c>
      <c r="Z65" s="191">
        <f t="shared" si="13"/>
        <v>0.19198790627362058</v>
      </c>
      <c r="AA65" s="153">
        <f t="shared" si="14"/>
        <v>1.4172335600907029</v>
      </c>
      <c r="AB65" s="153">
        <f t="shared" si="75"/>
        <v>4.7616048182941621E-2</v>
      </c>
      <c r="AC65" s="153"/>
      <c r="AD65" s="153">
        <f t="shared" si="16"/>
        <v>1.1072834645669289</v>
      </c>
      <c r="AE65" s="317">
        <f t="shared" si="76"/>
        <v>722.48888888888882</v>
      </c>
      <c r="AF65" s="463">
        <f t="shared" si="77"/>
        <v>2.9066190944881887E-2</v>
      </c>
      <c r="AH65" s="153">
        <f t="shared" si="78"/>
        <v>0.28685486624025447</v>
      </c>
      <c r="AI65" s="153">
        <f t="shared" si="79"/>
        <v>0.47622047244094495</v>
      </c>
      <c r="AJ65" s="153">
        <f t="shared" si="80"/>
        <v>1.4416447944007</v>
      </c>
      <c r="AL65" s="317">
        <f t="shared" si="81"/>
        <v>60</v>
      </c>
      <c r="AM65" s="147">
        <f t="shared" si="82"/>
        <v>141.10222278211697</v>
      </c>
      <c r="AO65">
        <f t="shared" si="53"/>
        <v>60</v>
      </c>
      <c r="AP65">
        <f t="shared" si="24"/>
        <v>141.10222278211697</v>
      </c>
      <c r="AR65" s="5">
        <f t="shared" si="54"/>
        <v>7.0870605741211481</v>
      </c>
      <c r="AS65" s="5">
        <f t="shared" si="25"/>
        <v>3.5716535433070868</v>
      </c>
      <c r="AT65" s="5">
        <f t="shared" si="55"/>
        <v>3.5154070308140613</v>
      </c>
      <c r="AU65" s="153">
        <f t="shared" si="56"/>
        <v>0.50396825396825407</v>
      </c>
      <c r="AW65" s="5">
        <f t="shared" si="83"/>
        <v>1.7236920000000002</v>
      </c>
      <c r="AX65" s="5">
        <f t="shared" si="84"/>
        <v>6.3852911999999975</v>
      </c>
      <c r="AY65" s="5">
        <f t="shared" si="85"/>
        <v>1.7372910952321905</v>
      </c>
      <c r="AZ65" s="5">
        <f t="shared" si="86"/>
        <v>4.6685439584260973</v>
      </c>
      <c r="BA65" s="5">
        <f t="shared" si="87"/>
        <v>0.42184884369768733</v>
      </c>
      <c r="BB65" s="147">
        <f t="shared" si="88"/>
        <v>42.544884369768738</v>
      </c>
      <c r="BC65" s="5"/>
      <c r="BD65" s="153">
        <f t="shared" si="57"/>
        <v>0.19518616189493457</v>
      </c>
      <c r="BE65" s="153">
        <f t="shared" si="89"/>
        <v>0.19364316408112628</v>
      </c>
      <c r="BF65" s="153">
        <f t="shared" si="90"/>
        <v>0.19288377912394539</v>
      </c>
      <c r="BG65" s="153"/>
      <c r="BH65" s="463">
        <f t="shared" si="34"/>
        <v>1.3334173228346461E-2</v>
      </c>
      <c r="BI65" s="463">
        <f t="shared" si="35"/>
        <v>1.354666666666667E-2</v>
      </c>
      <c r="BJ65" s="463">
        <f t="shared" si="36"/>
        <v>1.7637777847764619E-3</v>
      </c>
      <c r="BK65" s="463">
        <f t="shared" si="37"/>
        <v>1.1469511111111113E-2</v>
      </c>
      <c r="BL65">
        <f t="shared" si="38"/>
        <v>5.7999999999999996E-3</v>
      </c>
      <c r="BM65">
        <f t="shared" si="91"/>
        <v>5.2913333543293858E-6</v>
      </c>
      <c r="BN65">
        <f t="shared" si="92"/>
        <v>4.7837220485361612E-2</v>
      </c>
      <c r="BO65" s="147">
        <f t="shared" si="58"/>
        <v>47.837220485361613</v>
      </c>
      <c r="BP65" s="153">
        <f t="shared" si="93"/>
        <v>5.1568223696447403E-2</v>
      </c>
      <c r="BQ65" s="153">
        <f t="shared" si="94"/>
        <v>5.1343972318339107E-2</v>
      </c>
      <c r="BR65" s="463"/>
      <c r="BT65" s="147">
        <f t="shared" si="59"/>
        <v>102.91219601478652</v>
      </c>
      <c r="BU65" s="463">
        <f t="shared" si="43"/>
        <v>3.0478110236220487E-2</v>
      </c>
      <c r="BV65" s="463">
        <f t="shared" si="60"/>
        <v>2.9848149296298594E-2</v>
      </c>
      <c r="BW65" s="463">
        <f t="shared" si="95"/>
        <v>1.8602076124567477E-3</v>
      </c>
      <c r="BX65" s="463">
        <f t="shared" si="45"/>
        <v>0</v>
      </c>
      <c r="BY65" s="463">
        <f t="shared" si="96"/>
        <v>6.9997072856085682E-2</v>
      </c>
      <c r="BZ65" s="463">
        <f t="shared" si="61"/>
        <v>6.2186467144975825E-2</v>
      </c>
      <c r="CA65" s="549">
        <f t="shared" si="97"/>
        <v>4.8000000000000015E-2</v>
      </c>
      <c r="CB65" s="147">
        <f t="shared" si="62"/>
        <v>117.99707285608569</v>
      </c>
      <c r="CC65" s="153">
        <f t="shared" si="63"/>
        <v>0.2687464893562338</v>
      </c>
      <c r="CD65" s="5">
        <f t="shared" si="64"/>
        <v>2.16</v>
      </c>
      <c r="CE65" s="153">
        <f t="shared" si="65"/>
        <v>0.88934765710048724</v>
      </c>
      <c r="CF65" s="5">
        <f t="shared" si="66"/>
        <v>88.934765710048723</v>
      </c>
      <c r="CG65">
        <f t="shared" si="102"/>
        <v>60</v>
      </c>
      <c r="CI65" s="59">
        <f t="shared" si="98"/>
        <v>-50</v>
      </c>
      <c r="CJ65">
        <f t="shared" si="99"/>
        <v>-50</v>
      </c>
    </row>
    <row r="66" spans="5:88" x14ac:dyDescent="0.25">
      <c r="E66" s="150">
        <v>61</v>
      </c>
      <c r="F66" s="191">
        <f t="shared" si="103"/>
        <v>6.0999999999999999E-2</v>
      </c>
      <c r="G66" s="191">
        <f t="shared" si="100"/>
        <v>6.0999999999999999E-2</v>
      </c>
      <c r="H66" s="191">
        <f t="shared" si="70"/>
        <v>1.22</v>
      </c>
      <c r="I66" s="191">
        <f t="shared" si="104"/>
        <v>0.97599999999999998</v>
      </c>
      <c r="J66" s="472">
        <f t="shared" si="1"/>
        <v>20</v>
      </c>
      <c r="K66" s="386">
        <f t="shared" si="2"/>
        <v>20.32</v>
      </c>
      <c r="L66" s="386">
        <f t="shared" si="3"/>
        <v>40.32</v>
      </c>
      <c r="M66" s="386"/>
      <c r="N66" s="191">
        <f t="shared" si="4"/>
        <v>0.50396825396825395</v>
      </c>
      <c r="O66" s="152">
        <f t="shared" si="101"/>
        <v>1.8898809523809523</v>
      </c>
      <c r="P66" s="152">
        <f t="shared" si="71"/>
        <v>2.7214285714285715</v>
      </c>
      <c r="Q66" s="191">
        <f t="shared" si="6"/>
        <v>9.4494047619047616E-2</v>
      </c>
      <c r="R66" s="191">
        <f t="shared" si="72"/>
        <v>0.11811755952380952</v>
      </c>
      <c r="S66" s="386">
        <f t="shared" si="73"/>
        <v>20</v>
      </c>
      <c r="T66" s="191">
        <f t="shared" si="74"/>
        <v>0.48415748031496059</v>
      </c>
      <c r="U66" s="191">
        <f t="shared" si="10"/>
        <v>3.6311811023622038</v>
      </c>
      <c r="V66" s="191">
        <f t="shared" si="11"/>
        <v>3.5739971479942949</v>
      </c>
      <c r="W66" s="175">
        <f t="shared" si="12"/>
        <v>350</v>
      </c>
      <c r="X66" s="386">
        <f t="shared" si="52"/>
        <v>138.78907158896754</v>
      </c>
      <c r="Z66" s="191">
        <f t="shared" si="13"/>
        <v>0.19198790627362058</v>
      </c>
      <c r="AA66" s="153">
        <f t="shared" si="14"/>
        <v>1.4172335600907029</v>
      </c>
      <c r="AB66" s="153">
        <f t="shared" si="75"/>
        <v>4.7616048182941621E-2</v>
      </c>
      <c r="AC66" s="153"/>
      <c r="AD66" s="153">
        <f t="shared" si="16"/>
        <v>1.1072834645669289</v>
      </c>
      <c r="AE66" s="317">
        <f t="shared" si="76"/>
        <v>734.53037037037041</v>
      </c>
      <c r="AF66" s="463">
        <f t="shared" si="77"/>
        <v>2.9066190944881887E-2</v>
      </c>
      <c r="AH66" s="153">
        <f t="shared" si="78"/>
        <v>0.28923544536785745</v>
      </c>
      <c r="AI66" s="153">
        <f t="shared" si="79"/>
        <v>0.48415748031496059</v>
      </c>
      <c r="AJ66" s="153">
        <f t="shared" si="80"/>
        <v>1.4475240594925634</v>
      </c>
      <c r="AL66" s="317">
        <f t="shared" si="81"/>
        <v>61</v>
      </c>
      <c r="AM66" s="147">
        <f t="shared" si="82"/>
        <v>138.78907158896754</v>
      </c>
      <c r="AO66">
        <f t="shared" si="53"/>
        <v>61</v>
      </c>
      <c r="AP66">
        <f t="shared" si="24"/>
        <v>138.78907158896754</v>
      </c>
      <c r="AR66" s="5">
        <f t="shared" si="54"/>
        <v>7.2051782503564992</v>
      </c>
      <c r="AS66" s="5">
        <f t="shared" si="25"/>
        <v>3.6311811023622038</v>
      </c>
      <c r="AT66" s="5">
        <f t="shared" si="55"/>
        <v>3.5739971479942954</v>
      </c>
      <c r="AU66" s="153">
        <f t="shared" si="56"/>
        <v>0.50396825396825395</v>
      </c>
      <c r="AW66" s="5">
        <f t="shared" si="83"/>
        <v>1.7236920000000002</v>
      </c>
      <c r="AX66" s="5">
        <f t="shared" si="84"/>
        <v>6.5968579319999989</v>
      </c>
      <c r="AY66" s="5">
        <f t="shared" si="85"/>
        <v>1.7372910952321905</v>
      </c>
      <c r="AZ66" s="5">
        <f t="shared" si="86"/>
        <v>4.8234255748065298</v>
      </c>
      <c r="BA66" s="5">
        <f t="shared" si="87"/>
        <v>0.43602765205530392</v>
      </c>
      <c r="BB66" s="147">
        <f t="shared" si="88"/>
        <v>43.968765205530389</v>
      </c>
      <c r="BC66" s="5"/>
      <c r="BD66" s="153">
        <f t="shared" si="57"/>
        <v>0.19843926459318342</v>
      </c>
      <c r="BE66" s="153">
        <f t="shared" si="89"/>
        <v>0.19687055014914503</v>
      </c>
      <c r="BF66" s="153">
        <f t="shared" si="90"/>
        <v>0.19609850877601115</v>
      </c>
      <c r="BG66" s="153"/>
      <c r="BH66" s="463">
        <f t="shared" si="34"/>
        <v>1.378234960629921E-2</v>
      </c>
      <c r="BI66" s="463">
        <f t="shared" si="35"/>
        <v>1.354666666666667E-2</v>
      </c>
      <c r="BJ66" s="463">
        <f t="shared" si="36"/>
        <v>1.7348633948620941E-3</v>
      </c>
      <c r="BK66" s="463">
        <f t="shared" si="37"/>
        <v>1.128148633879782E-2</v>
      </c>
      <c r="BL66">
        <f t="shared" si="38"/>
        <v>5.7999999999999996E-3</v>
      </c>
      <c r="BM66">
        <f t="shared" si="91"/>
        <v>5.2045901845862824E-6</v>
      </c>
      <c r="BN66">
        <f t="shared" si="92"/>
        <v>4.8133583964891306E-2</v>
      </c>
      <c r="BO66" s="147">
        <f t="shared" si="58"/>
        <v>48.133583964891308</v>
      </c>
      <c r="BP66" s="153">
        <f t="shared" si="93"/>
        <v>5.2913122326244656E-2</v>
      </c>
      <c r="BQ66" s="153">
        <f t="shared" si="94"/>
        <v>5.2681333610149955E-2</v>
      </c>
      <c r="BR66" s="463"/>
      <c r="BT66" s="147">
        <f t="shared" si="59"/>
        <v>105.59445593639461</v>
      </c>
      <c r="BU66" s="463">
        <f t="shared" si="43"/>
        <v>3.1502513385826769E-2</v>
      </c>
      <c r="BV66" s="463">
        <f t="shared" si="60"/>
        <v>3.0851378758757514E-2</v>
      </c>
      <c r="BW66" s="463">
        <f t="shared" si="95"/>
        <v>1.9227312572087662E-3</v>
      </c>
      <c r="BX66" s="463">
        <f t="shared" si="45"/>
        <v>0</v>
      </c>
      <c r="BY66" s="463">
        <f t="shared" si="96"/>
        <v>7.2361912562199732E-2</v>
      </c>
      <c r="BZ66" s="463">
        <f t="shared" si="61"/>
        <v>6.4276623401793048E-2</v>
      </c>
      <c r="CA66" s="549">
        <f t="shared" si="97"/>
        <v>4.880000000000001E-2</v>
      </c>
      <c r="CB66" s="147">
        <f t="shared" si="62"/>
        <v>121.16191256219975</v>
      </c>
      <c r="CC66" s="153">
        <f t="shared" si="63"/>
        <v>0.27488995246348569</v>
      </c>
      <c r="CD66" s="5">
        <f t="shared" si="64"/>
        <v>2.1959999999999997</v>
      </c>
      <c r="CE66" s="153">
        <f t="shared" si="65"/>
        <v>0.88874860566355063</v>
      </c>
      <c r="CF66" s="5">
        <f t="shared" si="66"/>
        <v>88.874860566355068</v>
      </c>
      <c r="CG66">
        <f t="shared" si="102"/>
        <v>61</v>
      </c>
      <c r="CI66" s="59">
        <f t="shared" si="98"/>
        <v>-50</v>
      </c>
      <c r="CJ66">
        <f t="shared" si="99"/>
        <v>-50</v>
      </c>
    </row>
    <row r="67" spans="5:88" x14ac:dyDescent="0.25">
      <c r="E67" s="150">
        <v>62</v>
      </c>
      <c r="F67" s="191">
        <f t="shared" si="103"/>
        <v>6.2E-2</v>
      </c>
      <c r="G67" s="191">
        <f t="shared" si="100"/>
        <v>6.2E-2</v>
      </c>
      <c r="H67" s="191">
        <f t="shared" si="70"/>
        <v>1.24</v>
      </c>
      <c r="I67" s="191">
        <f t="shared" si="104"/>
        <v>0.99199999999999999</v>
      </c>
      <c r="J67" s="472">
        <f t="shared" si="1"/>
        <v>20</v>
      </c>
      <c r="K67" s="386">
        <f t="shared" si="2"/>
        <v>20.32</v>
      </c>
      <c r="L67" s="386">
        <f t="shared" si="3"/>
        <v>40.32</v>
      </c>
      <c r="M67" s="386"/>
      <c r="N67" s="191">
        <f t="shared" si="4"/>
        <v>0.50396825396825395</v>
      </c>
      <c r="O67" s="152">
        <f t="shared" si="101"/>
        <v>1.8898809523809523</v>
      </c>
      <c r="P67" s="152">
        <f t="shared" si="71"/>
        <v>2.7214285714285715</v>
      </c>
      <c r="Q67" s="191">
        <f t="shared" si="6"/>
        <v>9.4494047619047616E-2</v>
      </c>
      <c r="R67" s="191">
        <f t="shared" si="72"/>
        <v>0.11811755952380952</v>
      </c>
      <c r="S67" s="386">
        <f t="shared" si="73"/>
        <v>20</v>
      </c>
      <c r="T67" s="191">
        <f t="shared" si="74"/>
        <v>0.49209448818897644</v>
      </c>
      <c r="U67" s="191">
        <f t="shared" si="10"/>
        <v>3.690708661417323</v>
      </c>
      <c r="V67" s="191">
        <f t="shared" si="11"/>
        <v>3.6325872651745303</v>
      </c>
      <c r="W67" s="175">
        <f t="shared" si="12"/>
        <v>350</v>
      </c>
      <c r="X67" s="386">
        <f t="shared" si="52"/>
        <v>136.55053817624221</v>
      </c>
      <c r="Z67" s="191">
        <f t="shared" si="13"/>
        <v>0.19198790627362058</v>
      </c>
      <c r="AA67" s="153">
        <f t="shared" si="14"/>
        <v>1.4172335600907029</v>
      </c>
      <c r="AB67" s="153">
        <f t="shared" si="75"/>
        <v>4.7616048182941621E-2</v>
      </c>
      <c r="AC67" s="153"/>
      <c r="AD67" s="153">
        <f t="shared" si="16"/>
        <v>1.1072834645669289</v>
      </c>
      <c r="AE67" s="317">
        <f t="shared" si="76"/>
        <v>746.57185185185187</v>
      </c>
      <c r="AF67" s="463">
        <f t="shared" si="77"/>
        <v>2.9066190944881887E-2</v>
      </c>
      <c r="AH67" s="153">
        <f t="shared" si="78"/>
        <v>0.29159659022109885</v>
      </c>
      <c r="AI67" s="153">
        <f t="shared" si="79"/>
        <v>0.49209448818897644</v>
      </c>
      <c r="AJ67" s="153">
        <f t="shared" si="80"/>
        <v>1.4534033245844269</v>
      </c>
      <c r="AL67" s="317">
        <f t="shared" si="81"/>
        <v>62</v>
      </c>
      <c r="AM67" s="147">
        <f t="shared" si="82"/>
        <v>136.55053817624221</v>
      </c>
      <c r="AO67">
        <f t="shared" si="53"/>
        <v>62</v>
      </c>
      <c r="AP67">
        <f t="shared" si="24"/>
        <v>136.55053817624221</v>
      </c>
      <c r="AR67" s="5">
        <f t="shared" si="54"/>
        <v>7.3232959265918529</v>
      </c>
      <c r="AS67" s="5">
        <f t="shared" si="25"/>
        <v>3.690708661417323</v>
      </c>
      <c r="AT67" s="5">
        <f t="shared" si="55"/>
        <v>3.6325872651745299</v>
      </c>
      <c r="AU67" s="153">
        <f t="shared" si="56"/>
        <v>0.50396825396825407</v>
      </c>
      <c r="AW67" s="5">
        <f t="shared" si="83"/>
        <v>1.7236920000000002</v>
      </c>
      <c r="AX67" s="5">
        <f t="shared" si="84"/>
        <v>6.8118720479999988</v>
      </c>
      <c r="AY67" s="5">
        <f t="shared" si="85"/>
        <v>1.7372910952321905</v>
      </c>
      <c r="AZ67" s="5">
        <f t="shared" si="86"/>
        <v>4.9808341600527548</v>
      </c>
      <c r="BA67" s="5">
        <f t="shared" si="87"/>
        <v>0.45044082088164172</v>
      </c>
      <c r="BB67" s="147">
        <f t="shared" si="88"/>
        <v>45.416082088164167</v>
      </c>
      <c r="BC67" s="5"/>
      <c r="BD67" s="153">
        <f t="shared" si="57"/>
        <v>0.20169236729143239</v>
      </c>
      <c r="BE67" s="153">
        <f t="shared" si="89"/>
        <v>0.20009793621716382</v>
      </c>
      <c r="BF67" s="153">
        <f t="shared" si="90"/>
        <v>0.19931323842807691</v>
      </c>
      <c r="BG67" s="153"/>
      <c r="BH67" s="463">
        <f t="shared" si="34"/>
        <v>1.4237933858267722E-2</v>
      </c>
      <c r="BI67" s="463">
        <f t="shared" si="35"/>
        <v>1.3546666666666667E-2</v>
      </c>
      <c r="BJ67" s="463">
        <f t="shared" si="36"/>
        <v>1.7068817272030278E-3</v>
      </c>
      <c r="BK67" s="463">
        <f t="shared" si="37"/>
        <v>1.1099526881720431E-2</v>
      </c>
      <c r="BL67">
        <f t="shared" si="38"/>
        <v>5.7999999999999996E-3</v>
      </c>
      <c r="BM67">
        <f t="shared" si="91"/>
        <v>5.1206451816090828E-6</v>
      </c>
      <c r="BN67">
        <f t="shared" si="92"/>
        <v>4.8445512307900021E-2</v>
      </c>
      <c r="BO67" s="147">
        <f t="shared" si="58"/>
        <v>48.445512307900024</v>
      </c>
      <c r="BP67" s="153">
        <f t="shared" si="93"/>
        <v>5.4273936635873279E-2</v>
      </c>
      <c r="BQ67" s="153">
        <f t="shared" si="94"/>
        <v>5.4034485997693213E-2</v>
      </c>
      <c r="BR67" s="463"/>
      <c r="BT67" s="147">
        <f t="shared" si="59"/>
        <v>108.30842263356649</v>
      </c>
      <c r="BU67" s="463">
        <f t="shared" si="43"/>
        <v>3.2543848818897651E-2</v>
      </c>
      <c r="BV67" s="463">
        <f t="shared" si="60"/>
        <v>3.1871190526381057E-2</v>
      </c>
      <c r="BW67" s="463">
        <f t="shared" si="95"/>
        <v>1.9862883506343719E-3</v>
      </c>
      <c r="BX67" s="463">
        <f t="shared" si="45"/>
        <v>0</v>
      </c>
      <c r="BY67" s="463">
        <f t="shared" si="96"/>
        <v>7.4766655434481244E-2</v>
      </c>
      <c r="BZ67" s="463">
        <f t="shared" si="61"/>
        <v>6.6401327695913073E-2</v>
      </c>
      <c r="CA67" s="549">
        <f t="shared" si="97"/>
        <v>4.9600000000000012E-2</v>
      </c>
      <c r="CB67" s="147">
        <f t="shared" si="62"/>
        <v>124.36665543448125</v>
      </c>
      <c r="CC67" s="153">
        <f t="shared" si="63"/>
        <v>0.28112059037594778</v>
      </c>
      <c r="CD67" s="5">
        <f t="shared" si="64"/>
        <v>2.2320000000000002</v>
      </c>
      <c r="CE67" s="153">
        <f t="shared" si="65"/>
        <v>0.88813883764571211</v>
      </c>
      <c r="CF67" s="5">
        <f t="shared" si="66"/>
        <v>88.813883764571216</v>
      </c>
      <c r="CG67">
        <f t="shared" si="102"/>
        <v>62</v>
      </c>
      <c r="CI67" s="59">
        <f t="shared" si="98"/>
        <v>-50</v>
      </c>
      <c r="CJ67">
        <f t="shared" si="99"/>
        <v>-50</v>
      </c>
    </row>
    <row r="68" spans="5:88" x14ac:dyDescent="0.25">
      <c r="E68" s="150">
        <v>63</v>
      </c>
      <c r="F68" s="191">
        <f t="shared" si="103"/>
        <v>6.3E-2</v>
      </c>
      <c r="G68" s="191">
        <f t="shared" si="100"/>
        <v>6.3E-2</v>
      </c>
      <c r="H68" s="191">
        <f t="shared" si="70"/>
        <v>1.26</v>
      </c>
      <c r="I68" s="191">
        <f t="shared" si="104"/>
        <v>1.008</v>
      </c>
      <c r="J68" s="472">
        <f t="shared" si="1"/>
        <v>20</v>
      </c>
      <c r="K68" s="386">
        <f t="shared" si="2"/>
        <v>20.32</v>
      </c>
      <c r="L68" s="386">
        <f t="shared" si="3"/>
        <v>40.32</v>
      </c>
      <c r="M68" s="386"/>
      <c r="N68" s="191">
        <f t="shared" si="4"/>
        <v>0.50396825396825395</v>
      </c>
      <c r="O68" s="152">
        <f t="shared" si="101"/>
        <v>1.8898809523809523</v>
      </c>
      <c r="P68" s="152">
        <f t="shared" si="71"/>
        <v>2.7214285714285715</v>
      </c>
      <c r="Q68" s="191">
        <f t="shared" si="6"/>
        <v>9.4494047619047616E-2</v>
      </c>
      <c r="R68" s="191">
        <f t="shared" si="72"/>
        <v>0.11811755952380952</v>
      </c>
      <c r="S68" s="386">
        <f t="shared" si="73"/>
        <v>20</v>
      </c>
      <c r="T68" s="191">
        <f t="shared" si="74"/>
        <v>0.50003149606299213</v>
      </c>
      <c r="U68" s="191">
        <f t="shared" si="10"/>
        <v>3.7502362204724404</v>
      </c>
      <c r="V68" s="191">
        <f t="shared" si="11"/>
        <v>3.6911773823547644</v>
      </c>
      <c r="W68" s="175">
        <f t="shared" si="12"/>
        <v>350</v>
      </c>
      <c r="X68" s="386">
        <f t="shared" si="52"/>
        <v>134.38306931630189</v>
      </c>
      <c r="Z68" s="191">
        <f t="shared" si="13"/>
        <v>0.19198790627362058</v>
      </c>
      <c r="AA68" s="153">
        <f t="shared" si="14"/>
        <v>1.4172335600907029</v>
      </c>
      <c r="AB68" s="153">
        <f t="shared" si="75"/>
        <v>4.7616048182941621E-2</v>
      </c>
      <c r="AC68" s="153"/>
      <c r="AD68" s="153">
        <f t="shared" si="16"/>
        <v>1.1072834645669289</v>
      </c>
      <c r="AE68" s="317">
        <f t="shared" si="76"/>
        <v>758.61333333333334</v>
      </c>
      <c r="AF68" s="463">
        <f t="shared" si="77"/>
        <v>2.9066190944881887E-2</v>
      </c>
      <c r="AH68" s="153">
        <f t="shared" si="78"/>
        <v>0.29393876913398137</v>
      </c>
      <c r="AI68" s="153">
        <f t="shared" si="79"/>
        <v>0.50003149606299213</v>
      </c>
      <c r="AJ68" s="153">
        <f t="shared" si="80"/>
        <v>1.4592825896762904</v>
      </c>
      <c r="AL68" s="317">
        <f t="shared" si="81"/>
        <v>63</v>
      </c>
      <c r="AM68" s="147">
        <f t="shared" si="82"/>
        <v>134.38306931630189</v>
      </c>
      <c r="AO68">
        <f t="shared" si="53"/>
        <v>63</v>
      </c>
      <c r="AP68">
        <f t="shared" si="24"/>
        <v>134.38306931630189</v>
      </c>
      <c r="AR68" s="5">
        <f t="shared" si="54"/>
        <v>7.4414136028272049</v>
      </c>
      <c r="AS68" s="5">
        <f t="shared" si="25"/>
        <v>3.7502362204724404</v>
      </c>
      <c r="AT68" s="5">
        <f t="shared" si="55"/>
        <v>3.6911773823547644</v>
      </c>
      <c r="AU68" s="153">
        <f t="shared" si="56"/>
        <v>0.50396825396825395</v>
      </c>
      <c r="AW68" s="5">
        <f t="shared" si="83"/>
        <v>1.7236920000000002</v>
      </c>
      <c r="AX68" s="5">
        <f t="shared" si="84"/>
        <v>7.0303335479999989</v>
      </c>
      <c r="AY68" s="5">
        <f t="shared" si="85"/>
        <v>1.7372910952321905</v>
      </c>
      <c r="AZ68" s="5">
        <f t="shared" si="86"/>
        <v>5.1407697141647724</v>
      </c>
      <c r="BA68" s="5">
        <f t="shared" si="87"/>
        <v>0.46508835017670019</v>
      </c>
      <c r="BB68" s="147">
        <f t="shared" si="88"/>
        <v>46.886835017670023</v>
      </c>
      <c r="BC68" s="5"/>
      <c r="BD68" s="153">
        <f t="shared" si="57"/>
        <v>0.20494546998968127</v>
      </c>
      <c r="BE68" s="153">
        <f t="shared" si="89"/>
        <v>0.2033253222851826</v>
      </c>
      <c r="BF68" s="153">
        <f t="shared" si="90"/>
        <v>0.20252796808014267</v>
      </c>
      <c r="BG68" s="153"/>
      <c r="BH68" s="463">
        <f t="shared" si="34"/>
        <v>1.4700925984251972E-2</v>
      </c>
      <c r="BI68" s="463">
        <f t="shared" si="35"/>
        <v>1.354666666666667E-2</v>
      </c>
      <c r="BJ68" s="463">
        <f t="shared" si="36"/>
        <v>1.6797883664537736E-3</v>
      </c>
      <c r="BK68" s="463">
        <f t="shared" si="37"/>
        <v>1.0923343915343919E-2</v>
      </c>
      <c r="BL68">
        <f t="shared" si="38"/>
        <v>5.7999999999999996E-3</v>
      </c>
      <c r="BM68">
        <f t="shared" si="91"/>
        <v>5.0393650993613207E-6</v>
      </c>
      <c r="BN68">
        <f t="shared" si="92"/>
        <v>4.8772676452654526E-2</v>
      </c>
      <c r="BO68" s="147">
        <f t="shared" si="58"/>
        <v>48.772676452654522</v>
      </c>
      <c r="BP68" s="153">
        <f t="shared" si="93"/>
        <v>5.5650666625333266E-2</v>
      </c>
      <c r="BQ68" s="153">
        <f t="shared" si="94"/>
        <v>5.5403429480968873E-2</v>
      </c>
      <c r="BR68" s="463"/>
      <c r="BT68" s="147">
        <f t="shared" si="59"/>
        <v>111.05409610630214</v>
      </c>
      <c r="BU68" s="463">
        <f t="shared" si="43"/>
        <v>3.3602116535433081E-2</v>
      </c>
      <c r="BV68" s="463">
        <f t="shared" si="60"/>
        <v>3.2907584599169211E-2</v>
      </c>
      <c r="BW68" s="463">
        <f t="shared" si="95"/>
        <v>2.0508788927335645E-3</v>
      </c>
      <c r="BX68" s="463">
        <f t="shared" si="45"/>
        <v>0</v>
      </c>
      <c r="BY68" s="463">
        <f t="shared" si="96"/>
        <v>7.7211341981893569E-2</v>
      </c>
      <c r="BZ68" s="463">
        <f t="shared" si="61"/>
        <v>6.8560580027335852E-2</v>
      </c>
      <c r="CA68" s="549">
        <f t="shared" si="97"/>
        <v>5.0400000000000014E-2</v>
      </c>
      <c r="CB68" s="147">
        <f t="shared" si="62"/>
        <v>127.61134198189359</v>
      </c>
      <c r="CC68" s="153">
        <f t="shared" si="63"/>
        <v>0.28743811454085022</v>
      </c>
      <c r="CD68" s="5">
        <f t="shared" si="64"/>
        <v>2.2679999999999998</v>
      </c>
      <c r="CE68" s="153">
        <f t="shared" si="65"/>
        <v>0.8875190469668266</v>
      </c>
      <c r="CF68" s="5">
        <f t="shared" si="66"/>
        <v>88.751904696682658</v>
      </c>
      <c r="CG68">
        <f t="shared" si="102"/>
        <v>63</v>
      </c>
      <c r="CI68" s="59">
        <f t="shared" si="98"/>
        <v>-50</v>
      </c>
      <c r="CJ68">
        <f t="shared" si="99"/>
        <v>-50</v>
      </c>
    </row>
    <row r="69" spans="5:88" x14ac:dyDescent="0.25">
      <c r="E69" s="150">
        <v>64</v>
      </c>
      <c r="F69" s="191">
        <f t="shared" si="103"/>
        <v>6.4000000000000001E-2</v>
      </c>
      <c r="G69" s="191">
        <f t="shared" si="100"/>
        <v>6.4000000000000001E-2</v>
      </c>
      <c r="H69" s="191">
        <f t="shared" ref="H69:H105" si="105">F69*Vout</f>
        <v>1.28</v>
      </c>
      <c r="I69" s="191">
        <f t="shared" si="104"/>
        <v>1.024</v>
      </c>
      <c r="J69" s="472">
        <f t="shared" ref="J69:J105" si="106">Vin</f>
        <v>20</v>
      </c>
      <c r="K69" s="386">
        <f t="shared" ref="K69:K105" si="107">(S69+Vfwd1)*Nps</f>
        <v>20.32</v>
      </c>
      <c r="L69" s="386">
        <f t="shared" ref="L69:L105" si="108">(Vout+Vfwd1)*Nps+J69</f>
        <v>40.32</v>
      </c>
      <c r="M69" s="386"/>
      <c r="N69" s="191">
        <f t="shared" ref="N69:N105" si="109">(Vout+Vfwd1)*Nps/((Vout+Vfwd1)*Nps+J69)</f>
        <v>0.50396825396825395</v>
      </c>
      <c r="O69" s="152">
        <f t="shared" si="101"/>
        <v>1.8898809523809523</v>
      </c>
      <c r="P69" s="152">
        <f t="shared" ref="P69:P105" si="110">N69*J69*Isw_max*0.5*Efficiency*(Pout2/Pout_total)</f>
        <v>2.7214285714285715</v>
      </c>
      <c r="Q69" s="191">
        <f t="shared" ref="Q69:Q105" si="111">O69/Vout</f>
        <v>9.4494047619047616E-2</v>
      </c>
      <c r="R69" s="191">
        <f t="shared" ref="R69:R105" si="112">O69/Vout2</f>
        <v>0.11811755952380952</v>
      </c>
      <c r="S69" s="386">
        <f t="shared" ref="S69:S105" si="113">MIN(Vout,O69/F69)</f>
        <v>20</v>
      </c>
      <c r="T69" s="191">
        <f t="shared" ref="T69:T105" si="114">MIN(2*(Vout*F69+Vout2*G69)/(Efficiency*J69*N69), Isw_max)</f>
        <v>0.50796850393700799</v>
      </c>
      <c r="U69" s="191">
        <f t="shared" ref="U69:U105" si="115">L*T69/J69*1000000</f>
        <v>3.8097637795275596</v>
      </c>
      <c r="V69" s="191">
        <f t="shared" ref="V69:V105" si="116">L*T69/K69*1000000</f>
        <v>3.7497674995349994</v>
      </c>
      <c r="W69" s="175">
        <f t="shared" ref="W69:W105" si="117">IF(1/((350000*L)*(1/J69+1/K69))&gt;Isw_min, 350, 0.001/((Isw_min*L)*(1/J69+1/K69)))</f>
        <v>350</v>
      </c>
      <c r="X69" s="386">
        <f t="shared" si="52"/>
        <v>132.28333385823461</v>
      </c>
      <c r="Z69" s="191">
        <f t="shared" ref="Z69:Z105" si="118">1/((W69*1000*L)*(1/J69+1/K69))</f>
        <v>0.19198790627362058</v>
      </c>
      <c r="AA69" s="153">
        <f t="shared" ref="AA69:AA105" si="119">L*Z69/K69*1000000</f>
        <v>1.4172335600907029</v>
      </c>
      <c r="AB69" s="153">
        <f t="shared" ref="AB69:AB100" si="120">0.5*AA69*Z69*Nps*W69/1000*(Pout/Pout_total)</f>
        <v>4.7616048182941621E-2</v>
      </c>
      <c r="AC69" s="153"/>
      <c r="AD69" s="153">
        <f t="shared" ref="AD69:AD105" si="121">L*Isw_min/K69*1000000</f>
        <v>1.1072834645669289</v>
      </c>
      <c r="AE69" s="317">
        <f t="shared" ref="AE69:AE100" si="122">MAX(10, F69/(0.5*AD69/1000000*Isw_min*Nps)/1000*Pout_total/Pout)</f>
        <v>770.65481481481481</v>
      </c>
      <c r="AF69" s="463">
        <f t="shared" ref="AF69:AF105" si="123">0.5*AD69/1000000*Isw_min*Nps*W69*1000*(Pout/Pout_total)</f>
        <v>2.9066190944881887E-2</v>
      </c>
      <c r="AH69" s="153">
        <f t="shared" ref="AH69:AH105" si="124">SQRT((H69+I69)/(0.5*L*Fsw_DCM))</f>
        <v>0.29626243192721652</v>
      </c>
      <c r="AI69" s="153">
        <f t="shared" ref="AI69:AI100" si="125">MAX(IF(F69&gt;AB69,T69,AH69),Isw_min)</f>
        <v>0.50796850393700799</v>
      </c>
      <c r="AJ69" s="153">
        <f t="shared" ref="AJ69:AJ100" si="126">IF(F69&gt;AF69, (AI69-Isw_min)/1.08*0.8+1.2, AE69*0.2/350+1)</f>
        <v>1.465161854768154</v>
      </c>
      <c r="AL69" s="317">
        <f t="shared" ref="AL69:AL105" si="127">F69*1000</f>
        <v>64</v>
      </c>
      <c r="AM69" s="147">
        <f t="shared" ref="AM69:AM105" si="128">IF(F69&gt;AF69, X69, AE69)</f>
        <v>132.28333385823461</v>
      </c>
      <c r="AO69">
        <f t="shared" si="53"/>
        <v>64</v>
      </c>
      <c r="AP69">
        <f t="shared" ref="AP69:AP105" si="129">IF(H69&gt;O69, "",AM69)</f>
        <v>132.28333385823461</v>
      </c>
      <c r="AR69" s="5">
        <f t="shared" si="54"/>
        <v>7.5595312790625595</v>
      </c>
      <c r="AS69" s="5">
        <f t="shared" ref="AS69:AS105" si="130">L*AI69/J69*1000000</f>
        <v>3.8097637795275596</v>
      </c>
      <c r="AT69" s="5">
        <f t="shared" si="55"/>
        <v>3.7497674995349999</v>
      </c>
      <c r="AU69" s="153">
        <f t="shared" si="56"/>
        <v>0.50396825396825395</v>
      </c>
      <c r="AW69" s="5">
        <f t="shared" ref="AW69:AW105" si="131">L*Iout^2/(2*Vripple1_spec*Vout*Npri_sec1^2)*1000000000*((1+N69)/(1-N69))^2</f>
        <v>1.7236920000000002</v>
      </c>
      <c r="AX69" s="5">
        <f t="shared" ref="AX69:AX105" si="132">L*F69^2/(2*Cout*Vout*Nps^2)*1000000000*((1+N69)/(1-N69))^2+F69*RCoutEsr</f>
        <v>7.2522424319999974</v>
      </c>
      <c r="AY69" s="5">
        <f t="shared" ref="AY69:AY105" si="133">L*Iout2^2/(2*Vripple2_spec*Vout2*Npri_sec2^2)*1000000000*((1+N69)/(1-N69))^2</f>
        <v>1.7372910952321905</v>
      </c>
      <c r="AZ69" s="5">
        <f t="shared" ref="AZ69:AZ105" si="134">L*G69^2/(2*Cout2*Vout2*Npri_sec2^2)*1000000000*((1+N69)/(1-N69))^2+G69*CoutEsr2</f>
        <v>5.3032322371425815</v>
      </c>
      <c r="BA69" s="5">
        <f t="shared" ref="BA69:BA105" si="135">(H69+I69)/Efficiency/J69*AT69/Vinripple1</f>
        <v>0.47997023994047999</v>
      </c>
      <c r="BB69" s="147">
        <f t="shared" ref="BB69:BB105" si="136">((CD69/J69/Efficiency)*AT69/Cin+(CD69/J69/Efficiency)*RCinEsr)*1000</f>
        <v>48.381023994048</v>
      </c>
      <c r="BC69" s="5"/>
      <c r="BD69" s="153">
        <f t="shared" si="57"/>
        <v>0.20819857268793021</v>
      </c>
      <c r="BE69" s="153">
        <f t="shared" ref="BE69:BE105" si="137">AI69*Npri_sec1*SQRT((1-AU69)/3)*(Pout/Pout_total)</f>
        <v>0.20655270835320141</v>
      </c>
      <c r="BF69" s="153">
        <f t="shared" ref="BF69:BF105" si="138">AI69*Npri_sec2*SQRT((1-AU69)/3)*(Pout2/Pout_total)</f>
        <v>0.20574269773220846</v>
      </c>
      <c r="BG69" s="153"/>
      <c r="BH69" s="463">
        <f t="shared" ref="BH69:BH105" si="139">Rdson*BD69^2</f>
        <v>1.5171325984251976E-2</v>
      </c>
      <c r="BI69" s="463">
        <f t="shared" ref="BI69:BI105" si="140">0.5*L69*AI69*AM69*1000*Trise</f>
        <v>1.3546666666666665E-2</v>
      </c>
      <c r="BJ69" s="463">
        <f t="shared" ref="BJ69:BJ105" si="141">Qg*Vdd*AM69*1000</f>
        <v>1.6535416732279325E-3</v>
      </c>
      <c r="BK69" s="463">
        <f t="shared" ref="BK69:BK105" si="142">0.5*(Coss+Csw)*L69^2*AM69*1000</f>
        <v>1.0752666666666666E-2</v>
      </c>
      <c r="BL69">
        <f t="shared" ref="BL69:BL105" si="143">J69*IQ</f>
        <v>5.7999999999999996E-3</v>
      </c>
      <c r="BM69">
        <f t="shared" ref="BM69:BM105" si="144">(J69-Vdd)*Qg*AM69</f>
        <v>4.9606250196837976E-6</v>
      </c>
      <c r="BN69">
        <f t="shared" ref="BN69:BN100" si="145">(BI69+BJ69+BK69+BL69+BM69+BH69*(1+RdsonTC*(Ta-25)))/(1-BH69*RdsonTC*ThetaJA)</f>
        <v>4.9114768245169464E-2</v>
      </c>
      <c r="BO69" s="147">
        <f t="shared" si="58"/>
        <v>49.114768245169465</v>
      </c>
      <c r="BP69" s="153">
        <f t="shared" ref="BP69:BP105" si="146">(Vfwd2*F69+BE69^2*Rdiode)*(1+Diode_TC/1000*(Ta-25))</f>
        <v>5.7043312294624622E-2</v>
      </c>
      <c r="BQ69" s="153">
        <f t="shared" ref="BQ69:BQ105" si="147">(Vfwd2*G69+BF69^2*Rdiode)*(1+Diode_TC/1000*(Ta-25))</f>
        <v>5.6788164059976956E-2</v>
      </c>
      <c r="BR69" s="463"/>
      <c r="BT69" s="147">
        <f t="shared" si="59"/>
        <v>113.83147635460159</v>
      </c>
      <c r="BU69" s="463">
        <f t="shared" ref="BU69:BU105" si="148">Rdcr_pri*BD69^2</f>
        <v>3.4677316535433093E-2</v>
      </c>
      <c r="BV69" s="463">
        <f t="shared" ref="BV69:BV105" si="149">Rdcr_sec*BE69^2</f>
        <v>3.3960560977121974E-2</v>
      </c>
      <c r="BW69" s="463">
        <f t="shared" ref="BW69:BW105" si="150">Rdcr_sec2*BF69^2</f>
        <v>2.116502883506345E-3</v>
      </c>
      <c r="BX69" s="463">
        <f t="shared" ref="BX69:BX105" si="151">AI69^2.5*AM69^2.5*k_core</f>
        <v>0</v>
      </c>
      <c r="BY69" s="463">
        <f t="shared" ref="BY69:BY100" si="152">(BX69+(BU69+BV69+BW69)*(1+Ltc*(Ta-25)))/(1-(BU69+BV69+BW69)*Ltc*ThetaCa)</f>
        <v>7.9696013407483404E-2</v>
      </c>
      <c r="BZ69" s="463">
        <f t="shared" si="61"/>
        <v>7.0754380396061411E-2</v>
      </c>
      <c r="CA69" s="549">
        <f t="shared" ref="CA69:CA105" si="153">0.5*Lleak*0.000000001*AI69^2*AM69*1000</f>
        <v>5.1200000000000002E-2</v>
      </c>
      <c r="CB69" s="147">
        <f t="shared" si="62"/>
        <v>130.89601340748342</v>
      </c>
      <c r="CC69" s="153">
        <f t="shared" si="63"/>
        <v>0.29384225800725444</v>
      </c>
      <c r="CD69" s="5">
        <f t="shared" si="64"/>
        <v>2.3040000000000003</v>
      </c>
      <c r="CE69" s="153">
        <f t="shared" si="65"/>
        <v>0.88688987674230302</v>
      </c>
      <c r="CF69" s="5">
        <f t="shared" si="66"/>
        <v>88.688987674230304</v>
      </c>
      <c r="CG69">
        <f t="shared" si="102"/>
        <v>64</v>
      </c>
      <c r="CI69" s="59">
        <f t="shared" ref="CI69:CI105" si="154">IF(ABS(F69-Ioutmax_Vinnom)&lt;Iout/200, AM69, -50)</f>
        <v>-50</v>
      </c>
      <c r="CJ69">
        <f t="shared" ref="CJ69:CJ105" si="155">IF(ABS(F69-Ioutmax_Vinnom)&lt;Iout/200, (O69+P69)*CE69, -50)</f>
        <v>-50</v>
      </c>
    </row>
    <row r="70" spans="5:88" x14ac:dyDescent="0.25">
      <c r="E70" s="150">
        <v>65</v>
      </c>
      <c r="F70" s="191">
        <f t="shared" si="103"/>
        <v>6.5000000000000002E-2</v>
      </c>
      <c r="G70" s="191">
        <f t="shared" ref="G70:G105" si="156">IF(PLOT_TYPE=1, E70/100*Iout2, min_I*EXP(Q70*rr/100))</f>
        <v>6.5000000000000002E-2</v>
      </c>
      <c r="H70" s="191">
        <f t="shared" si="105"/>
        <v>1.3</v>
      </c>
      <c r="I70" s="191">
        <f t="shared" si="104"/>
        <v>1.04</v>
      </c>
      <c r="J70" s="472">
        <f t="shared" si="106"/>
        <v>20</v>
      </c>
      <c r="K70" s="386">
        <f t="shared" si="107"/>
        <v>20.32</v>
      </c>
      <c r="L70" s="386">
        <f t="shared" si="108"/>
        <v>40.32</v>
      </c>
      <c r="M70" s="386"/>
      <c r="N70" s="191">
        <f t="shared" si="109"/>
        <v>0.50396825396825395</v>
      </c>
      <c r="O70" s="152">
        <f t="shared" ref="O70:O101" si="157">N70*J70*Isw_max*0.5*Efficiency*Pout/(Pout+Pout2)</f>
        <v>1.8898809523809523</v>
      </c>
      <c r="P70" s="152">
        <f t="shared" si="110"/>
        <v>2.7214285714285715</v>
      </c>
      <c r="Q70" s="191">
        <f t="shared" si="111"/>
        <v>9.4494047619047616E-2</v>
      </c>
      <c r="R70" s="191">
        <f t="shared" si="112"/>
        <v>0.11811755952380952</v>
      </c>
      <c r="S70" s="386">
        <f t="shared" si="113"/>
        <v>20</v>
      </c>
      <c r="T70" s="191">
        <f t="shared" si="114"/>
        <v>0.51590551181102362</v>
      </c>
      <c r="U70" s="191">
        <f t="shared" si="115"/>
        <v>3.8692913385826766</v>
      </c>
      <c r="V70" s="191">
        <f t="shared" si="116"/>
        <v>3.8083576167152327</v>
      </c>
      <c r="W70" s="175">
        <f t="shared" si="117"/>
        <v>350</v>
      </c>
      <c r="X70" s="386">
        <f t="shared" ref="X70:X105" si="158">MIN(1/(U70+V70)*1000, 350)</f>
        <v>130.24820564503105</v>
      </c>
      <c r="Z70" s="191">
        <f t="shared" si="118"/>
        <v>0.19198790627362058</v>
      </c>
      <c r="AA70" s="153">
        <f t="shared" si="119"/>
        <v>1.4172335600907029</v>
      </c>
      <c r="AB70" s="153">
        <f t="shared" si="120"/>
        <v>4.7616048182941621E-2</v>
      </c>
      <c r="AC70" s="153"/>
      <c r="AD70" s="153">
        <f t="shared" si="121"/>
        <v>1.1072834645669289</v>
      </c>
      <c r="AE70" s="317">
        <f t="shared" si="122"/>
        <v>782.6962962962964</v>
      </c>
      <c r="AF70" s="463">
        <f t="shared" si="123"/>
        <v>2.9066190944881887E-2</v>
      </c>
      <c r="AH70" s="153">
        <f t="shared" si="124"/>
        <v>0.29856801091687157</v>
      </c>
      <c r="AI70" s="153">
        <f t="shared" si="125"/>
        <v>0.51590551181102362</v>
      </c>
      <c r="AJ70" s="153">
        <f t="shared" si="126"/>
        <v>1.4710411198600175</v>
      </c>
      <c r="AL70" s="317">
        <f t="shared" si="127"/>
        <v>65</v>
      </c>
      <c r="AM70" s="147">
        <f t="shared" si="128"/>
        <v>130.24820564503105</v>
      </c>
      <c r="AO70">
        <f t="shared" ref="AO70:AO105" si="159">IF(H70&gt;O70, "",AL70)</f>
        <v>65</v>
      </c>
      <c r="AP70">
        <f t="shared" si="129"/>
        <v>130.24820564503105</v>
      </c>
      <c r="AR70" s="5">
        <f t="shared" ref="AR70:AR133" si="160">1/AM70*1000</f>
        <v>7.6776489552979097</v>
      </c>
      <c r="AS70" s="5">
        <f t="shared" si="130"/>
        <v>3.8692913385826766</v>
      </c>
      <c r="AT70" s="5">
        <f t="shared" ref="AT70:AT105" si="161">AR70-AS70</f>
        <v>3.8083576167152331</v>
      </c>
      <c r="AU70" s="153">
        <f t="shared" ref="AU70:AU105" si="162">AS70/AR70</f>
        <v>0.50396825396825395</v>
      </c>
      <c r="AW70" s="5">
        <f t="shared" si="131"/>
        <v>1.7236920000000002</v>
      </c>
      <c r="AX70" s="5">
        <f t="shared" si="132"/>
        <v>7.4775986999999988</v>
      </c>
      <c r="AY70" s="5">
        <f t="shared" si="133"/>
        <v>1.7372910952321905</v>
      </c>
      <c r="AZ70" s="5">
        <f t="shared" si="134"/>
        <v>5.4682217289861841</v>
      </c>
      <c r="BA70" s="5">
        <f t="shared" si="135"/>
        <v>0.49508649017298023</v>
      </c>
      <c r="BB70" s="147">
        <f t="shared" si="136"/>
        <v>49.898649017298027</v>
      </c>
      <c r="BC70" s="5"/>
      <c r="BD70" s="153">
        <f t="shared" ref="BD70:BD105" si="163">AI70*SQRT(AU70/3)</f>
        <v>0.21145167538617907</v>
      </c>
      <c r="BE70" s="153">
        <f t="shared" si="137"/>
        <v>0.20978009442122014</v>
      </c>
      <c r="BF70" s="153">
        <f t="shared" si="138"/>
        <v>0.20895742738427417</v>
      </c>
      <c r="BG70" s="153"/>
      <c r="BH70" s="463">
        <f t="shared" si="139"/>
        <v>1.5649133858267716E-2</v>
      </c>
      <c r="BI70" s="463">
        <f t="shared" si="140"/>
        <v>1.3546666666666667E-2</v>
      </c>
      <c r="BJ70" s="463">
        <f t="shared" si="141"/>
        <v>1.6281025705628881E-3</v>
      </c>
      <c r="BK70" s="463">
        <f t="shared" si="142"/>
        <v>1.0587241025641028E-2</v>
      </c>
      <c r="BL70">
        <f t="shared" si="143"/>
        <v>5.7999999999999996E-3</v>
      </c>
      <c r="BM70">
        <f t="shared" si="144"/>
        <v>4.8843077116886637E-6</v>
      </c>
      <c r="BN70">
        <f t="shared" si="145"/>
        <v>4.94714988365429E-2</v>
      </c>
      <c r="BO70" s="147">
        <f t="shared" ref="BO70:BO105" si="164">BN70*1000</f>
        <v>49.471498836542899</v>
      </c>
      <c r="BP70" s="153">
        <f t="shared" si="146"/>
        <v>5.84518736437473E-2</v>
      </c>
      <c r="BQ70" s="153">
        <f t="shared" si="147"/>
        <v>5.8188689734717421E-2</v>
      </c>
      <c r="BR70" s="463"/>
      <c r="BT70" s="147">
        <f t="shared" ref="BT70:BT105" si="165">SUM(BP70:BS70)*1000</f>
        <v>116.64056337846472</v>
      </c>
      <c r="BU70" s="463">
        <f t="shared" si="148"/>
        <v>3.5769448818897639E-2</v>
      </c>
      <c r="BV70" s="463">
        <f t="shared" si="149"/>
        <v>3.5030119660239327E-2</v>
      </c>
      <c r="BW70" s="463">
        <f t="shared" si="150"/>
        <v>2.183160322952711E-3</v>
      </c>
      <c r="BX70" s="463">
        <f t="shared" si="151"/>
        <v>0</v>
      </c>
      <c r="BY70" s="463">
        <f t="shared" si="152"/>
        <v>8.2220711610128991E-2</v>
      </c>
      <c r="BZ70" s="463">
        <f t="shared" ref="BZ70:BZ133" si="166">SUM(BU70:BX70)</f>
        <v>7.2982728802089669E-2</v>
      </c>
      <c r="CA70" s="549">
        <f t="shared" si="153"/>
        <v>5.2000000000000005E-2</v>
      </c>
      <c r="CB70" s="147">
        <f t="shared" ref="CB70:CB105" si="167">(BY70+CA70)*1000</f>
        <v>134.220711610129</v>
      </c>
      <c r="CC70" s="153">
        <f t="shared" ref="CC70:CC133" si="168">SUM(BN70,BP70:BS70,BY70, CA70)</f>
        <v>0.30033277382513662</v>
      </c>
      <c r="CD70" s="5">
        <f t="shared" ref="CD70:CD105" si="169">MIN(H70+I70,O70+P70)</f>
        <v>2.34</v>
      </c>
      <c r="CE70" s="153">
        <f t="shared" ref="CE70:CE105" si="170">CD70/(CD70+CC70)</f>
        <v>0.88625192369595351</v>
      </c>
      <c r="CF70" s="5">
        <f t="shared" ref="CF70:CF105" si="171">CE70*100</f>
        <v>88.625192369595354</v>
      </c>
      <c r="CG70">
        <f t="shared" ref="CG70:CG105" si="172">F70/Iout*100</f>
        <v>65</v>
      </c>
      <c r="CI70" s="59">
        <f t="shared" si="154"/>
        <v>-50</v>
      </c>
      <c r="CJ70">
        <f t="shared" si="155"/>
        <v>-50</v>
      </c>
    </row>
    <row r="71" spans="5:88" x14ac:dyDescent="0.25">
      <c r="E71" s="150">
        <v>66</v>
      </c>
      <c r="F71" s="191">
        <f t="shared" si="103"/>
        <v>6.6000000000000003E-2</v>
      </c>
      <c r="G71" s="191">
        <f t="shared" si="156"/>
        <v>6.6000000000000003E-2</v>
      </c>
      <c r="H71" s="191">
        <f t="shared" si="105"/>
        <v>1.32</v>
      </c>
      <c r="I71" s="191">
        <f t="shared" si="104"/>
        <v>1.056</v>
      </c>
      <c r="J71" s="472">
        <f t="shared" si="106"/>
        <v>20</v>
      </c>
      <c r="K71" s="386">
        <f t="shared" si="107"/>
        <v>20.32</v>
      </c>
      <c r="L71" s="386">
        <f t="shared" si="108"/>
        <v>40.32</v>
      </c>
      <c r="M71" s="386"/>
      <c r="N71" s="191">
        <f t="shared" si="109"/>
        <v>0.50396825396825395</v>
      </c>
      <c r="O71" s="152">
        <f t="shared" si="157"/>
        <v>1.8898809523809523</v>
      </c>
      <c r="P71" s="152">
        <f t="shared" si="110"/>
        <v>2.7214285714285715</v>
      </c>
      <c r="Q71" s="191">
        <f t="shared" si="111"/>
        <v>9.4494047619047616E-2</v>
      </c>
      <c r="R71" s="191">
        <f t="shared" si="112"/>
        <v>0.11811755952380952</v>
      </c>
      <c r="S71" s="386">
        <f t="shared" si="113"/>
        <v>20</v>
      </c>
      <c r="T71" s="191">
        <f t="shared" si="114"/>
        <v>0.52384251968503948</v>
      </c>
      <c r="U71" s="191">
        <f t="shared" si="115"/>
        <v>3.9288188976377953</v>
      </c>
      <c r="V71" s="191">
        <f t="shared" si="116"/>
        <v>3.8669477338954685</v>
      </c>
      <c r="W71" s="175">
        <f t="shared" si="117"/>
        <v>350</v>
      </c>
      <c r="X71" s="386">
        <f t="shared" si="158"/>
        <v>128.27474798374269</v>
      </c>
      <c r="Z71" s="191">
        <f t="shared" si="118"/>
        <v>0.19198790627362058</v>
      </c>
      <c r="AA71" s="153">
        <f t="shared" si="119"/>
        <v>1.4172335600907029</v>
      </c>
      <c r="AB71" s="153">
        <f t="shared" si="120"/>
        <v>4.7616048182941621E-2</v>
      </c>
      <c r="AC71" s="153"/>
      <c r="AD71" s="153">
        <f t="shared" si="121"/>
        <v>1.1072834645669289</v>
      </c>
      <c r="AE71" s="317">
        <f t="shared" si="122"/>
        <v>794.73777777777786</v>
      </c>
      <c r="AF71" s="463">
        <f t="shared" si="123"/>
        <v>2.9066190944881887E-2</v>
      </c>
      <c r="AH71" s="153">
        <f t="shared" si="124"/>
        <v>0.30085592185344423</v>
      </c>
      <c r="AI71" s="153">
        <f t="shared" si="125"/>
        <v>0.52384251968503948</v>
      </c>
      <c r="AJ71" s="153">
        <f t="shared" si="126"/>
        <v>1.476920384951881</v>
      </c>
      <c r="AL71" s="317">
        <f t="shared" si="127"/>
        <v>66</v>
      </c>
      <c r="AM71" s="147">
        <f t="shared" si="128"/>
        <v>128.27474798374269</v>
      </c>
      <c r="AO71">
        <f t="shared" si="159"/>
        <v>66</v>
      </c>
      <c r="AP71">
        <f t="shared" si="129"/>
        <v>128.27474798374269</v>
      </c>
      <c r="AR71" s="5">
        <f t="shared" si="160"/>
        <v>7.7957666315332634</v>
      </c>
      <c r="AS71" s="5">
        <f t="shared" si="130"/>
        <v>3.9288188976377953</v>
      </c>
      <c r="AT71" s="5">
        <f t="shared" si="161"/>
        <v>3.8669477338954681</v>
      </c>
      <c r="AU71" s="153">
        <f t="shared" si="162"/>
        <v>0.50396825396825395</v>
      </c>
      <c r="AW71" s="5">
        <f t="shared" si="131"/>
        <v>1.7236920000000002</v>
      </c>
      <c r="AX71" s="5">
        <f t="shared" si="132"/>
        <v>7.7064023520000005</v>
      </c>
      <c r="AY71" s="5">
        <f t="shared" si="133"/>
        <v>1.7372910952321905</v>
      </c>
      <c r="AZ71" s="5">
        <f t="shared" si="134"/>
        <v>5.6357381896955792</v>
      </c>
      <c r="BA71" s="5">
        <f t="shared" si="135"/>
        <v>0.5104371008742018</v>
      </c>
      <c r="BB71" s="147">
        <f t="shared" si="136"/>
        <v>51.439710087420181</v>
      </c>
      <c r="BC71" s="5"/>
      <c r="BD71" s="153">
        <f t="shared" si="163"/>
        <v>0.21470477808442803</v>
      </c>
      <c r="BE71" s="153">
        <f t="shared" si="137"/>
        <v>0.21300748048923895</v>
      </c>
      <c r="BF71" s="153">
        <f t="shared" si="138"/>
        <v>0.21217215703634001</v>
      </c>
      <c r="BG71" s="153"/>
      <c r="BH71" s="463">
        <f t="shared" si="139"/>
        <v>1.6134349606299218E-2</v>
      </c>
      <c r="BI71" s="463">
        <f t="shared" si="140"/>
        <v>1.3546666666666667E-2</v>
      </c>
      <c r="BJ71" s="463">
        <f t="shared" si="141"/>
        <v>1.6034343497967835E-3</v>
      </c>
      <c r="BK71" s="463">
        <f t="shared" si="142"/>
        <v>1.0426828282828284E-2</v>
      </c>
      <c r="BL71">
        <f t="shared" si="143"/>
        <v>5.7999999999999996E-3</v>
      </c>
      <c r="BM71">
        <f t="shared" si="144"/>
        <v>4.8103030493903508E-6</v>
      </c>
      <c r="BN71">
        <f t="shared" si="145"/>
        <v>4.9842597225998361E-2</v>
      </c>
      <c r="BO71" s="147">
        <f t="shared" si="164"/>
        <v>49.842597225998361</v>
      </c>
      <c r="BP71" s="153">
        <f t="shared" si="146"/>
        <v>5.9876350672701376E-2</v>
      </c>
      <c r="BQ71" s="153">
        <f t="shared" si="147"/>
        <v>5.9605006505190357E-2</v>
      </c>
      <c r="BR71" s="463"/>
      <c r="BT71" s="147">
        <f t="shared" si="165"/>
        <v>119.48135717789174</v>
      </c>
      <c r="BU71" s="463">
        <f t="shared" si="148"/>
        <v>3.6878513385826789E-2</v>
      </c>
      <c r="BV71" s="463">
        <f t="shared" si="149"/>
        <v>3.6116260648521317E-2</v>
      </c>
      <c r="BW71" s="463">
        <f t="shared" si="150"/>
        <v>2.2508512110726666E-3</v>
      </c>
      <c r="BX71" s="463">
        <f t="shared" si="151"/>
        <v>0</v>
      </c>
      <c r="BY71" s="463">
        <f t="shared" si="152"/>
        <v>8.4785479186319859E-2</v>
      </c>
      <c r="BZ71" s="463">
        <f t="shared" si="166"/>
        <v>7.5245625245420777E-2</v>
      </c>
      <c r="CA71" s="549">
        <f t="shared" si="153"/>
        <v>5.2800000000000007E-2</v>
      </c>
      <c r="CB71" s="147">
        <f t="shared" si="167"/>
        <v>137.58547918631987</v>
      </c>
      <c r="CC71" s="153">
        <f t="shared" si="168"/>
        <v>0.30690943359020995</v>
      </c>
      <c r="CD71" s="5">
        <f t="shared" si="169"/>
        <v>2.3760000000000003</v>
      </c>
      <c r="CE71" s="153">
        <f t="shared" si="170"/>
        <v>0.88560574212916665</v>
      </c>
      <c r="CF71" s="5">
        <f t="shared" si="171"/>
        <v>88.560574212916663</v>
      </c>
      <c r="CG71">
        <f t="shared" si="172"/>
        <v>66</v>
      </c>
      <c r="CI71" s="59">
        <f t="shared" si="154"/>
        <v>-50</v>
      </c>
      <c r="CJ71">
        <f t="shared" si="155"/>
        <v>-50</v>
      </c>
    </row>
    <row r="72" spans="5:88" x14ac:dyDescent="0.25">
      <c r="E72" s="150">
        <v>67</v>
      </c>
      <c r="F72" s="191">
        <f t="shared" ref="F72:F103" si="173">IF(PLOT_TYPE=1, E72/100*Iout_max, min_I*EXP(O72*rr/100))</f>
        <v>6.7000000000000004E-2</v>
      </c>
      <c r="G72" s="191">
        <f t="shared" si="156"/>
        <v>6.7000000000000004E-2</v>
      </c>
      <c r="H72" s="191">
        <f t="shared" si="105"/>
        <v>1.34</v>
      </c>
      <c r="I72" s="191">
        <f t="shared" ref="I72:I105" si="174">Vout2*G72</f>
        <v>1.0720000000000001</v>
      </c>
      <c r="J72" s="472">
        <f t="shared" si="106"/>
        <v>20</v>
      </c>
      <c r="K72" s="386">
        <f t="shared" si="107"/>
        <v>20.32</v>
      </c>
      <c r="L72" s="386">
        <f t="shared" si="108"/>
        <v>40.32</v>
      </c>
      <c r="M72" s="386"/>
      <c r="N72" s="191">
        <f t="shared" si="109"/>
        <v>0.50396825396825395</v>
      </c>
      <c r="O72" s="152">
        <f t="shared" si="157"/>
        <v>1.8898809523809523</v>
      </c>
      <c r="P72" s="152">
        <f t="shared" si="110"/>
        <v>2.7214285714285715</v>
      </c>
      <c r="Q72" s="191">
        <f t="shared" si="111"/>
        <v>9.4494047619047616E-2</v>
      </c>
      <c r="R72" s="191">
        <f t="shared" si="112"/>
        <v>0.11811755952380952</v>
      </c>
      <c r="S72" s="386">
        <f t="shared" si="113"/>
        <v>20</v>
      </c>
      <c r="T72" s="191">
        <f t="shared" si="114"/>
        <v>0.53177952755905511</v>
      </c>
      <c r="U72" s="191">
        <f t="shared" si="115"/>
        <v>3.9883464566929123</v>
      </c>
      <c r="V72" s="191">
        <f t="shared" si="116"/>
        <v>3.9255378510757013</v>
      </c>
      <c r="W72" s="175">
        <f t="shared" si="117"/>
        <v>350</v>
      </c>
      <c r="X72" s="386">
        <f t="shared" si="158"/>
        <v>126.36019950637342</v>
      </c>
      <c r="Z72" s="191">
        <f t="shared" si="118"/>
        <v>0.19198790627362058</v>
      </c>
      <c r="AA72" s="153">
        <f t="shared" si="119"/>
        <v>1.4172335600907029</v>
      </c>
      <c r="AB72" s="153">
        <f t="shared" si="120"/>
        <v>4.7616048182941621E-2</v>
      </c>
      <c r="AC72" s="153"/>
      <c r="AD72" s="153">
        <f t="shared" si="121"/>
        <v>1.1072834645669289</v>
      </c>
      <c r="AE72" s="317">
        <f t="shared" si="122"/>
        <v>806.77925925925933</v>
      </c>
      <c r="AF72" s="463">
        <f t="shared" si="123"/>
        <v>2.9066190944881887E-2</v>
      </c>
      <c r="AH72" s="153">
        <f t="shared" si="124"/>
        <v>0.30312656479713929</v>
      </c>
      <c r="AI72" s="153">
        <f t="shared" si="125"/>
        <v>0.53177952755905511</v>
      </c>
      <c r="AJ72" s="153">
        <f t="shared" si="126"/>
        <v>1.4827996500437446</v>
      </c>
      <c r="AL72" s="317">
        <f t="shared" si="127"/>
        <v>67</v>
      </c>
      <c r="AM72" s="147">
        <f t="shared" si="128"/>
        <v>126.36019950637342</v>
      </c>
      <c r="AO72">
        <f t="shared" si="159"/>
        <v>67</v>
      </c>
      <c r="AP72">
        <f t="shared" si="129"/>
        <v>126.36019950637342</v>
      </c>
      <c r="AR72" s="5">
        <f t="shared" si="160"/>
        <v>7.9138843077686136</v>
      </c>
      <c r="AS72" s="5">
        <f t="shared" si="130"/>
        <v>3.9883464566929123</v>
      </c>
      <c r="AT72" s="5">
        <f t="shared" si="161"/>
        <v>3.9255378510757013</v>
      </c>
      <c r="AU72" s="153">
        <f t="shared" si="162"/>
        <v>0.50396825396825395</v>
      </c>
      <c r="AW72" s="5">
        <f t="shared" si="131"/>
        <v>1.7236920000000002</v>
      </c>
      <c r="AX72" s="5">
        <f t="shared" si="132"/>
        <v>7.9386533880000005</v>
      </c>
      <c r="AY72" s="5">
        <f t="shared" si="133"/>
        <v>1.7372910952321905</v>
      </c>
      <c r="AZ72" s="5">
        <f t="shared" si="134"/>
        <v>5.8057816192707659</v>
      </c>
      <c r="BA72" s="5">
        <f t="shared" si="135"/>
        <v>0.52602207204414386</v>
      </c>
      <c r="BB72" s="147">
        <f t="shared" si="136"/>
        <v>53.004207204414399</v>
      </c>
      <c r="BC72" s="5"/>
      <c r="BD72" s="153">
        <f t="shared" si="163"/>
        <v>0.21795788078267689</v>
      </c>
      <c r="BE72" s="153">
        <f t="shared" si="137"/>
        <v>0.21623486655725768</v>
      </c>
      <c r="BF72" s="153">
        <f t="shared" si="138"/>
        <v>0.21538688668840567</v>
      </c>
      <c r="BG72" s="153"/>
      <c r="BH72" s="463">
        <f t="shared" si="139"/>
        <v>1.6626973228346456E-2</v>
      </c>
      <c r="BI72" s="463">
        <f t="shared" si="140"/>
        <v>1.354666666666667E-2</v>
      </c>
      <c r="BJ72" s="463">
        <f t="shared" si="141"/>
        <v>1.5795024938296677E-3</v>
      </c>
      <c r="BK72" s="463">
        <f t="shared" si="142"/>
        <v>1.0271203980099506E-2</v>
      </c>
      <c r="BL72">
        <f t="shared" si="143"/>
        <v>5.7999999999999996E-3</v>
      </c>
      <c r="BM72">
        <f t="shared" si="144"/>
        <v>4.7385074814890031E-6</v>
      </c>
      <c r="BN72">
        <f t="shared" si="145"/>
        <v>5.0227808934410451E-2</v>
      </c>
      <c r="BO72" s="147">
        <f t="shared" si="164"/>
        <v>50.227808934410447</v>
      </c>
      <c r="BP72" s="153">
        <f t="shared" si="146"/>
        <v>6.1316743381486773E-2</v>
      </c>
      <c r="BQ72" s="153">
        <f t="shared" si="147"/>
        <v>6.1037114371395619E-2</v>
      </c>
      <c r="BR72" s="463"/>
      <c r="BT72" s="147">
        <f t="shared" si="165"/>
        <v>122.35385775288239</v>
      </c>
      <c r="BU72" s="463">
        <f t="shared" si="148"/>
        <v>3.8004510236220479E-2</v>
      </c>
      <c r="BV72" s="463">
        <f t="shared" si="149"/>
        <v>3.721898394196789E-2</v>
      </c>
      <c r="BW72" s="463">
        <f t="shared" si="150"/>
        <v>2.319575547866205E-3</v>
      </c>
      <c r="BX72" s="463">
        <f t="shared" si="151"/>
        <v>0</v>
      </c>
      <c r="BY72" s="463">
        <f t="shared" si="152"/>
        <v>8.7390359431966561E-2</v>
      </c>
      <c r="BZ72" s="463">
        <f t="shared" si="166"/>
        <v>7.754306972605457E-2</v>
      </c>
      <c r="CA72" s="549">
        <f t="shared" si="153"/>
        <v>5.3600000000000009E-2</v>
      </c>
      <c r="CB72" s="147">
        <f t="shared" si="167"/>
        <v>140.9903594319666</v>
      </c>
      <c r="CC72" s="153">
        <f t="shared" si="168"/>
        <v>0.31357202611925938</v>
      </c>
      <c r="CD72" s="5">
        <f t="shared" si="169"/>
        <v>2.4119999999999999</v>
      </c>
      <c r="CE72" s="153">
        <f t="shared" si="170"/>
        <v>0.88495184749686051</v>
      </c>
      <c r="CF72" s="5">
        <f t="shared" si="171"/>
        <v>88.495184749686047</v>
      </c>
      <c r="CG72">
        <f t="shared" si="172"/>
        <v>67</v>
      </c>
      <c r="CI72" s="59">
        <f t="shared" si="154"/>
        <v>-50</v>
      </c>
      <c r="CJ72">
        <f t="shared" si="155"/>
        <v>-50</v>
      </c>
    </row>
    <row r="73" spans="5:88" x14ac:dyDescent="0.25">
      <c r="E73" s="150">
        <v>68</v>
      </c>
      <c r="F73" s="191">
        <f t="shared" si="173"/>
        <v>6.8000000000000005E-2</v>
      </c>
      <c r="G73" s="191">
        <f t="shared" si="156"/>
        <v>6.8000000000000005E-2</v>
      </c>
      <c r="H73" s="191">
        <f t="shared" si="105"/>
        <v>1.36</v>
      </c>
      <c r="I73" s="191">
        <f t="shared" si="174"/>
        <v>1.0880000000000001</v>
      </c>
      <c r="J73" s="472">
        <f t="shared" si="106"/>
        <v>20</v>
      </c>
      <c r="K73" s="386">
        <f t="shared" si="107"/>
        <v>20.32</v>
      </c>
      <c r="L73" s="386">
        <f t="shared" si="108"/>
        <v>40.32</v>
      </c>
      <c r="M73" s="386"/>
      <c r="N73" s="191">
        <f t="shared" si="109"/>
        <v>0.50396825396825395</v>
      </c>
      <c r="O73" s="152">
        <f t="shared" si="157"/>
        <v>1.8898809523809523</v>
      </c>
      <c r="P73" s="152">
        <f t="shared" si="110"/>
        <v>2.7214285714285715</v>
      </c>
      <c r="Q73" s="191">
        <f t="shared" si="111"/>
        <v>9.4494047619047616E-2</v>
      </c>
      <c r="R73" s="191">
        <f t="shared" si="112"/>
        <v>0.11811755952380952</v>
      </c>
      <c r="S73" s="386">
        <f t="shared" si="113"/>
        <v>20</v>
      </c>
      <c r="T73" s="191">
        <f t="shared" si="114"/>
        <v>0.53971653543307097</v>
      </c>
      <c r="U73" s="191">
        <f t="shared" si="115"/>
        <v>4.0478740157480315</v>
      </c>
      <c r="V73" s="191">
        <f t="shared" si="116"/>
        <v>3.9841279682559363</v>
      </c>
      <c r="W73" s="175">
        <f t="shared" si="117"/>
        <v>350</v>
      </c>
      <c r="X73" s="386">
        <f t="shared" si="158"/>
        <v>124.5019612783385</v>
      </c>
      <c r="Z73" s="191">
        <f t="shared" si="118"/>
        <v>0.19198790627362058</v>
      </c>
      <c r="AA73" s="153">
        <f t="shared" si="119"/>
        <v>1.4172335600907029</v>
      </c>
      <c r="AB73" s="153">
        <f t="shared" si="120"/>
        <v>4.7616048182941621E-2</v>
      </c>
      <c r="AC73" s="153"/>
      <c r="AD73" s="153">
        <f t="shared" si="121"/>
        <v>1.1072834645669289</v>
      </c>
      <c r="AE73" s="317">
        <f t="shared" si="122"/>
        <v>818.82074074074092</v>
      </c>
      <c r="AF73" s="463">
        <f t="shared" si="123"/>
        <v>2.9066190944881887E-2</v>
      </c>
      <c r="AH73" s="153">
        <f t="shared" si="124"/>
        <v>0.3053803249345689</v>
      </c>
      <c r="AI73" s="153">
        <f t="shared" si="125"/>
        <v>0.53971653543307097</v>
      </c>
      <c r="AJ73" s="153">
        <f t="shared" si="126"/>
        <v>1.4886789151356081</v>
      </c>
      <c r="AL73" s="317">
        <f t="shared" si="127"/>
        <v>68</v>
      </c>
      <c r="AM73" s="147">
        <f t="shared" si="128"/>
        <v>124.5019612783385</v>
      </c>
      <c r="AO73">
        <f t="shared" si="159"/>
        <v>68</v>
      </c>
      <c r="AP73">
        <f t="shared" si="129"/>
        <v>124.5019612783385</v>
      </c>
      <c r="AR73" s="5">
        <f t="shared" si="160"/>
        <v>8.0320019840039674</v>
      </c>
      <c r="AS73" s="5">
        <f t="shared" si="130"/>
        <v>4.0478740157480315</v>
      </c>
      <c r="AT73" s="5">
        <f t="shared" si="161"/>
        <v>3.9841279682559358</v>
      </c>
      <c r="AU73" s="153">
        <f t="shared" si="162"/>
        <v>0.50396825396825407</v>
      </c>
      <c r="AW73" s="5">
        <f t="shared" si="131"/>
        <v>1.7236920000000002</v>
      </c>
      <c r="AX73" s="5">
        <f t="shared" si="132"/>
        <v>8.1743518079999991</v>
      </c>
      <c r="AY73" s="5">
        <f t="shared" si="133"/>
        <v>1.7372910952321905</v>
      </c>
      <c r="AZ73" s="5">
        <f t="shared" si="134"/>
        <v>5.9783520177117451</v>
      </c>
      <c r="BA73" s="5">
        <f t="shared" si="135"/>
        <v>0.54184140368280731</v>
      </c>
      <c r="BB73" s="147">
        <f t="shared" si="136"/>
        <v>54.592140368280731</v>
      </c>
      <c r="BC73" s="5"/>
      <c r="BD73" s="153">
        <f t="shared" si="163"/>
        <v>0.22121098348092585</v>
      </c>
      <c r="BE73" s="153">
        <f t="shared" si="137"/>
        <v>0.21946225262527647</v>
      </c>
      <c r="BF73" s="153">
        <f t="shared" si="138"/>
        <v>0.21860161634047148</v>
      </c>
      <c r="BG73" s="153"/>
      <c r="BH73" s="463">
        <f t="shared" si="139"/>
        <v>1.7127004724409457E-2</v>
      </c>
      <c r="BI73" s="463">
        <f t="shared" si="140"/>
        <v>1.354666666666667E-2</v>
      </c>
      <c r="BJ73" s="463">
        <f t="shared" si="141"/>
        <v>1.5562745159792312E-3</v>
      </c>
      <c r="BK73" s="463">
        <f t="shared" si="142"/>
        <v>1.0120156862745099E-2</v>
      </c>
      <c r="BL73">
        <f t="shared" si="143"/>
        <v>5.7999999999999996E-3</v>
      </c>
      <c r="BM73">
        <f t="shared" si="144"/>
        <v>4.6688235479376935E-6</v>
      </c>
      <c r="BN73">
        <f t="shared" si="145"/>
        <v>5.0626894794882325E-2</v>
      </c>
      <c r="BO73" s="147">
        <f t="shared" si="164"/>
        <v>50.626894794882325</v>
      </c>
      <c r="BP73" s="153">
        <f t="shared" si="146"/>
        <v>6.2773051770103561E-2</v>
      </c>
      <c r="BQ73" s="153">
        <f t="shared" si="147"/>
        <v>6.248501333333336E-2</v>
      </c>
      <c r="BR73" s="463"/>
      <c r="BT73" s="147">
        <f t="shared" si="165"/>
        <v>125.25806510343693</v>
      </c>
      <c r="BU73" s="463">
        <f t="shared" si="148"/>
        <v>3.9147439370078765E-2</v>
      </c>
      <c r="BV73" s="463">
        <f t="shared" si="149"/>
        <v>3.8338289540579093E-2</v>
      </c>
      <c r="BW73" s="463">
        <f t="shared" si="150"/>
        <v>2.3893333333333345E-3</v>
      </c>
      <c r="BX73" s="463">
        <f t="shared" si="151"/>
        <v>0</v>
      </c>
      <c r="BY73" s="463">
        <f t="shared" si="152"/>
        <v>9.003539634424286E-2</v>
      </c>
      <c r="BZ73" s="463">
        <f t="shared" si="166"/>
        <v>7.9875062243991199E-2</v>
      </c>
      <c r="CA73" s="549">
        <f t="shared" si="153"/>
        <v>5.4400000000000018E-2</v>
      </c>
      <c r="CB73" s="147">
        <f t="shared" si="167"/>
        <v>144.43539634424289</v>
      </c>
      <c r="CC73" s="153">
        <f t="shared" si="168"/>
        <v>0.32032035624256211</v>
      </c>
      <c r="CD73" s="5">
        <f t="shared" si="169"/>
        <v>2.4480000000000004</v>
      </c>
      <c r="CE73" s="153">
        <f t="shared" si="170"/>
        <v>0.88429071963429384</v>
      </c>
      <c r="CF73" s="5">
        <f t="shared" si="171"/>
        <v>88.429071963429379</v>
      </c>
      <c r="CG73">
        <f t="shared" si="172"/>
        <v>68</v>
      </c>
      <c r="CI73" s="59">
        <f t="shared" si="154"/>
        <v>-50</v>
      </c>
      <c r="CJ73">
        <f t="shared" si="155"/>
        <v>-50</v>
      </c>
    </row>
    <row r="74" spans="5:88" x14ac:dyDescent="0.25">
      <c r="E74" s="150">
        <v>69</v>
      </c>
      <c r="F74" s="191">
        <f t="shared" si="173"/>
        <v>6.8999999999999992E-2</v>
      </c>
      <c r="G74" s="191">
        <f t="shared" si="156"/>
        <v>6.8999999999999992E-2</v>
      </c>
      <c r="H74" s="191">
        <f t="shared" si="105"/>
        <v>1.38</v>
      </c>
      <c r="I74" s="191">
        <f t="shared" si="174"/>
        <v>1.1039999999999999</v>
      </c>
      <c r="J74" s="472">
        <f t="shared" si="106"/>
        <v>20</v>
      </c>
      <c r="K74" s="386">
        <f t="shared" si="107"/>
        <v>20.32</v>
      </c>
      <c r="L74" s="386">
        <f t="shared" si="108"/>
        <v>40.32</v>
      </c>
      <c r="M74" s="386"/>
      <c r="N74" s="191">
        <f t="shared" si="109"/>
        <v>0.50396825396825395</v>
      </c>
      <c r="O74" s="152">
        <f t="shared" si="157"/>
        <v>1.8898809523809523</v>
      </c>
      <c r="P74" s="152">
        <f t="shared" si="110"/>
        <v>2.7214285714285715</v>
      </c>
      <c r="Q74" s="191">
        <f t="shared" si="111"/>
        <v>9.4494047619047616E-2</v>
      </c>
      <c r="R74" s="191">
        <f t="shared" si="112"/>
        <v>0.11811755952380952</v>
      </c>
      <c r="S74" s="386">
        <f t="shared" si="113"/>
        <v>20</v>
      </c>
      <c r="T74" s="191">
        <f t="shared" si="114"/>
        <v>0.5476535433070866</v>
      </c>
      <c r="U74" s="191">
        <f t="shared" si="115"/>
        <v>4.1074015748031494</v>
      </c>
      <c r="V74" s="191">
        <f t="shared" si="116"/>
        <v>4.0427180854361708</v>
      </c>
      <c r="W74" s="175">
        <f t="shared" si="117"/>
        <v>350</v>
      </c>
      <c r="X74" s="386">
        <f t="shared" si="158"/>
        <v>122.69758502792781</v>
      </c>
      <c r="Z74" s="191">
        <f t="shared" si="118"/>
        <v>0.19198790627362058</v>
      </c>
      <c r="AA74" s="153">
        <f t="shared" si="119"/>
        <v>1.4172335600907029</v>
      </c>
      <c r="AB74" s="153">
        <f t="shared" si="120"/>
        <v>4.7616048182941621E-2</v>
      </c>
      <c r="AC74" s="153"/>
      <c r="AD74" s="153">
        <f t="shared" si="121"/>
        <v>1.1072834645669289</v>
      </c>
      <c r="AE74" s="317">
        <f t="shared" si="122"/>
        <v>830.86222222222216</v>
      </c>
      <c r="AF74" s="463">
        <f t="shared" si="123"/>
        <v>2.9066190944881887E-2</v>
      </c>
      <c r="AH74" s="153">
        <f t="shared" si="124"/>
        <v>0.30761757334159479</v>
      </c>
      <c r="AI74" s="153">
        <f t="shared" si="125"/>
        <v>0.5476535433070866</v>
      </c>
      <c r="AJ74" s="153">
        <f t="shared" si="126"/>
        <v>1.4945581802274714</v>
      </c>
      <c r="AL74" s="317">
        <f t="shared" si="127"/>
        <v>68.999999999999986</v>
      </c>
      <c r="AM74" s="147">
        <f t="shared" si="128"/>
        <v>122.69758502792781</v>
      </c>
      <c r="AO74">
        <f t="shared" si="159"/>
        <v>68.999999999999986</v>
      </c>
      <c r="AP74">
        <f t="shared" si="129"/>
        <v>122.69758502792781</v>
      </c>
      <c r="AR74" s="5">
        <f t="shared" si="160"/>
        <v>8.1501196602393193</v>
      </c>
      <c r="AS74" s="5">
        <f t="shared" si="130"/>
        <v>4.1074015748031494</v>
      </c>
      <c r="AT74" s="5">
        <f t="shared" si="161"/>
        <v>4.04271808543617</v>
      </c>
      <c r="AU74" s="153">
        <f t="shared" si="162"/>
        <v>0.50396825396825407</v>
      </c>
      <c r="AW74" s="5">
        <f t="shared" si="131"/>
        <v>1.7236920000000002</v>
      </c>
      <c r="AX74" s="5">
        <f t="shared" si="132"/>
        <v>8.4134976119999969</v>
      </c>
      <c r="AY74" s="5">
        <f t="shared" si="133"/>
        <v>1.7372910952321905</v>
      </c>
      <c r="AZ74" s="5">
        <f t="shared" si="134"/>
        <v>6.1534493850185132</v>
      </c>
      <c r="BA74" s="5">
        <f t="shared" si="135"/>
        <v>0.55789509579019136</v>
      </c>
      <c r="BB74" s="147">
        <f t="shared" si="136"/>
        <v>56.203509579019141</v>
      </c>
      <c r="BC74" s="5"/>
      <c r="BD74" s="153">
        <f t="shared" si="163"/>
        <v>0.22446408617917471</v>
      </c>
      <c r="BE74" s="153">
        <f t="shared" si="137"/>
        <v>0.22268963869329519</v>
      </c>
      <c r="BF74" s="153">
        <f t="shared" si="138"/>
        <v>0.22181634599253719</v>
      </c>
      <c r="BG74" s="153"/>
      <c r="BH74" s="463">
        <f t="shared" si="139"/>
        <v>1.7634444094488191E-2</v>
      </c>
      <c r="BI74" s="463">
        <f t="shared" si="140"/>
        <v>1.354666666666667E-2</v>
      </c>
      <c r="BJ74" s="463">
        <f t="shared" si="141"/>
        <v>1.5337198128490977E-3</v>
      </c>
      <c r="BK74" s="463">
        <f t="shared" si="142"/>
        <v>9.9734879227053163E-3</v>
      </c>
      <c r="BL74">
        <f t="shared" si="143"/>
        <v>5.7999999999999996E-3</v>
      </c>
      <c r="BM74">
        <f t="shared" si="144"/>
        <v>4.6011594385472931E-6</v>
      </c>
      <c r="BN74">
        <f t="shared" si="145"/>
        <v>5.1039629848499996E-2</v>
      </c>
      <c r="BO74" s="147">
        <f t="shared" si="164"/>
        <v>51.039629848499999</v>
      </c>
      <c r="BP74" s="153">
        <f t="shared" si="146"/>
        <v>6.4245275838551691E-2</v>
      </c>
      <c r="BQ74" s="153">
        <f t="shared" si="147"/>
        <v>6.3948703391003461E-2</v>
      </c>
      <c r="BR74" s="463"/>
      <c r="BT74" s="147">
        <f t="shared" si="165"/>
        <v>128.19397922955517</v>
      </c>
      <c r="BU74" s="463">
        <f t="shared" si="148"/>
        <v>4.0307300787401579E-2</v>
      </c>
      <c r="BV74" s="463">
        <f t="shared" si="149"/>
        <v>3.9474177444354885E-2</v>
      </c>
      <c r="BW74" s="463">
        <f t="shared" si="150"/>
        <v>2.4601245674740484E-3</v>
      </c>
      <c r="BX74" s="463">
        <f t="shared" si="151"/>
        <v>0</v>
      </c>
      <c r="BY74" s="463">
        <f t="shared" si="152"/>
        <v>9.2720634623457782E-2</v>
      </c>
      <c r="BZ74" s="463">
        <f t="shared" si="166"/>
        <v>8.2241602799230512E-2</v>
      </c>
      <c r="CA74" s="549">
        <f t="shared" si="153"/>
        <v>5.5200000000000013E-2</v>
      </c>
      <c r="CB74" s="147">
        <f t="shared" si="167"/>
        <v>147.92063462345777</v>
      </c>
      <c r="CC74" s="153">
        <f t="shared" si="168"/>
        <v>0.32715424370151291</v>
      </c>
      <c r="CD74" s="5">
        <f t="shared" si="169"/>
        <v>2.484</v>
      </c>
      <c r="CE74" s="153">
        <f t="shared" si="170"/>
        <v>0.8836228056733233</v>
      </c>
      <c r="CF74" s="5">
        <f t="shared" si="171"/>
        <v>88.362280567332334</v>
      </c>
      <c r="CG74">
        <f t="shared" si="172"/>
        <v>68.999999999999986</v>
      </c>
      <c r="CI74" s="59">
        <f t="shared" si="154"/>
        <v>-50</v>
      </c>
      <c r="CJ74">
        <f t="shared" si="155"/>
        <v>-50</v>
      </c>
    </row>
    <row r="75" spans="5:88" x14ac:dyDescent="0.25">
      <c r="E75" s="150">
        <v>70</v>
      </c>
      <c r="F75" s="191">
        <f t="shared" si="173"/>
        <v>6.9999999999999993E-2</v>
      </c>
      <c r="G75" s="191">
        <f t="shared" si="156"/>
        <v>6.9999999999999993E-2</v>
      </c>
      <c r="H75" s="191">
        <f t="shared" si="105"/>
        <v>1.4</v>
      </c>
      <c r="I75" s="191">
        <f t="shared" si="174"/>
        <v>1.1199999999999999</v>
      </c>
      <c r="J75" s="472">
        <f t="shared" si="106"/>
        <v>20</v>
      </c>
      <c r="K75" s="386">
        <f t="shared" si="107"/>
        <v>20.32</v>
      </c>
      <c r="L75" s="386">
        <f t="shared" si="108"/>
        <v>40.32</v>
      </c>
      <c r="M75" s="386"/>
      <c r="N75" s="191">
        <f t="shared" si="109"/>
        <v>0.50396825396825395</v>
      </c>
      <c r="O75" s="152">
        <f t="shared" si="157"/>
        <v>1.8898809523809523</v>
      </c>
      <c r="P75" s="152">
        <f t="shared" si="110"/>
        <v>2.7214285714285715</v>
      </c>
      <c r="Q75" s="191">
        <f t="shared" si="111"/>
        <v>9.4494047619047616E-2</v>
      </c>
      <c r="R75" s="191">
        <f t="shared" si="112"/>
        <v>0.11811755952380952</v>
      </c>
      <c r="S75" s="386">
        <f t="shared" si="113"/>
        <v>20</v>
      </c>
      <c r="T75" s="191">
        <f t="shared" si="114"/>
        <v>0.55559055118110223</v>
      </c>
      <c r="U75" s="191">
        <f t="shared" si="115"/>
        <v>4.1669291338582664</v>
      </c>
      <c r="V75" s="191">
        <f t="shared" si="116"/>
        <v>4.1013082026164032</v>
      </c>
      <c r="W75" s="175">
        <f t="shared" si="117"/>
        <v>350</v>
      </c>
      <c r="X75" s="386">
        <f t="shared" si="158"/>
        <v>120.94476238467173</v>
      </c>
      <c r="Z75" s="191">
        <f t="shared" si="118"/>
        <v>0.19198790627362058</v>
      </c>
      <c r="AA75" s="153">
        <f t="shared" si="119"/>
        <v>1.4172335600907029</v>
      </c>
      <c r="AB75" s="153">
        <f t="shared" si="120"/>
        <v>4.7616048182941621E-2</v>
      </c>
      <c r="AC75" s="153"/>
      <c r="AD75" s="153">
        <f t="shared" si="121"/>
        <v>1.1072834645669289</v>
      </c>
      <c r="AE75" s="317">
        <f t="shared" si="122"/>
        <v>842.90370370370374</v>
      </c>
      <c r="AF75" s="463">
        <f t="shared" si="123"/>
        <v>2.9066190944881887E-2</v>
      </c>
      <c r="AH75" s="153">
        <f t="shared" si="124"/>
        <v>0.30983866769659335</v>
      </c>
      <c r="AI75" s="153">
        <f t="shared" si="125"/>
        <v>0.55559055118110223</v>
      </c>
      <c r="AJ75" s="153">
        <f t="shared" si="126"/>
        <v>1.500437445319335</v>
      </c>
      <c r="AL75" s="317">
        <f t="shared" si="127"/>
        <v>69.999999999999986</v>
      </c>
      <c r="AM75" s="147">
        <f t="shared" si="128"/>
        <v>120.94476238467173</v>
      </c>
      <c r="AO75">
        <f t="shared" si="159"/>
        <v>69.999999999999986</v>
      </c>
      <c r="AP75">
        <f t="shared" si="129"/>
        <v>120.94476238467173</v>
      </c>
      <c r="AR75" s="5">
        <f t="shared" si="160"/>
        <v>8.2682373364746695</v>
      </c>
      <c r="AS75" s="5">
        <f t="shared" si="130"/>
        <v>4.1669291338582664</v>
      </c>
      <c r="AT75" s="5">
        <f t="shared" si="161"/>
        <v>4.1013082026164032</v>
      </c>
      <c r="AU75" s="153">
        <f t="shared" si="162"/>
        <v>0.50396825396825407</v>
      </c>
      <c r="AW75" s="5">
        <f t="shared" si="131"/>
        <v>1.7236920000000002</v>
      </c>
      <c r="AX75" s="5">
        <f t="shared" si="132"/>
        <v>8.6560907999999976</v>
      </c>
      <c r="AY75" s="5">
        <f t="shared" si="133"/>
        <v>1.7372910952321905</v>
      </c>
      <c r="AZ75" s="5">
        <f t="shared" si="134"/>
        <v>6.3310737211910757</v>
      </c>
      <c r="BA75" s="5">
        <f t="shared" si="135"/>
        <v>0.57418314836629625</v>
      </c>
      <c r="BB75" s="147">
        <f t="shared" si="136"/>
        <v>57.838314836629621</v>
      </c>
      <c r="BC75" s="5"/>
      <c r="BD75" s="153">
        <f t="shared" si="163"/>
        <v>0.22771718887742357</v>
      </c>
      <c r="BE75" s="153">
        <f t="shared" si="137"/>
        <v>0.22591702476131392</v>
      </c>
      <c r="BF75" s="153">
        <f t="shared" si="138"/>
        <v>0.22503107564460292</v>
      </c>
      <c r="BG75" s="153"/>
      <c r="BH75" s="463">
        <f t="shared" si="139"/>
        <v>1.814929133858267E-2</v>
      </c>
      <c r="BI75" s="463">
        <f t="shared" si="140"/>
        <v>1.354666666666667E-2</v>
      </c>
      <c r="BJ75" s="463">
        <f t="shared" si="141"/>
        <v>1.5118095298083966E-3</v>
      </c>
      <c r="BK75" s="463">
        <f t="shared" si="142"/>
        <v>9.8310095238095287E-3</v>
      </c>
      <c r="BL75">
        <f t="shared" si="143"/>
        <v>5.7999999999999996E-3</v>
      </c>
      <c r="BM75">
        <f t="shared" si="144"/>
        <v>4.5354285894251894E-6</v>
      </c>
      <c r="BN75">
        <f t="shared" si="145"/>
        <v>5.1465802334746312E-2</v>
      </c>
      <c r="BO75" s="147">
        <f t="shared" si="164"/>
        <v>51.465802334746314</v>
      </c>
      <c r="BP75" s="153">
        <f t="shared" si="146"/>
        <v>6.5733415586831143E-2</v>
      </c>
      <c r="BQ75" s="153">
        <f t="shared" si="147"/>
        <v>6.5428184544406007E-2</v>
      </c>
      <c r="BR75" s="463"/>
      <c r="BT75" s="147">
        <f t="shared" si="165"/>
        <v>131.16160013123715</v>
      </c>
      <c r="BU75" s="463">
        <f t="shared" si="148"/>
        <v>4.1484094488188961E-2</v>
      </c>
      <c r="BV75" s="463">
        <f t="shared" si="149"/>
        <v>4.0626647653295288E-2</v>
      </c>
      <c r="BW75" s="463">
        <f t="shared" si="150"/>
        <v>2.5319492502883503E-3</v>
      </c>
      <c r="BX75" s="463">
        <f t="shared" si="151"/>
        <v>0</v>
      </c>
      <c r="BY75" s="463">
        <f t="shared" si="152"/>
        <v>9.5446119674960528E-2</v>
      </c>
      <c r="BZ75" s="463">
        <f t="shared" si="166"/>
        <v>8.4642691391772606E-2</v>
      </c>
      <c r="CA75" s="549">
        <f t="shared" si="153"/>
        <v>5.6000000000000008E-2</v>
      </c>
      <c r="CB75" s="147">
        <f t="shared" si="167"/>
        <v>151.44611967496053</v>
      </c>
      <c r="CC75" s="153">
        <f t="shared" si="168"/>
        <v>0.33407352214094399</v>
      </c>
      <c r="CD75" s="5">
        <f t="shared" si="169"/>
        <v>2.5199999999999996</v>
      </c>
      <c r="CE75" s="153">
        <f t="shared" si="170"/>
        <v>0.88294852268194435</v>
      </c>
      <c r="CF75" s="5">
        <f t="shared" si="171"/>
        <v>88.294852268194433</v>
      </c>
      <c r="CG75">
        <f t="shared" si="172"/>
        <v>69.999999999999986</v>
      </c>
      <c r="CI75" s="59">
        <f t="shared" si="154"/>
        <v>-50</v>
      </c>
      <c r="CJ75">
        <f t="shared" si="155"/>
        <v>-50</v>
      </c>
    </row>
    <row r="76" spans="5:88" x14ac:dyDescent="0.25">
      <c r="E76" s="150">
        <v>71</v>
      </c>
      <c r="F76" s="191">
        <f t="shared" si="173"/>
        <v>7.0999999999999994E-2</v>
      </c>
      <c r="G76" s="191">
        <f t="shared" si="156"/>
        <v>7.0999999999999994E-2</v>
      </c>
      <c r="H76" s="191">
        <f t="shared" si="105"/>
        <v>1.42</v>
      </c>
      <c r="I76" s="191">
        <f t="shared" si="174"/>
        <v>1.1359999999999999</v>
      </c>
      <c r="J76" s="472">
        <f t="shared" si="106"/>
        <v>20</v>
      </c>
      <c r="K76" s="386">
        <f t="shared" si="107"/>
        <v>20.32</v>
      </c>
      <c r="L76" s="386">
        <f t="shared" si="108"/>
        <v>40.32</v>
      </c>
      <c r="M76" s="386"/>
      <c r="N76" s="191">
        <f t="shared" si="109"/>
        <v>0.50396825396825395</v>
      </c>
      <c r="O76" s="152">
        <f t="shared" si="157"/>
        <v>1.8898809523809523</v>
      </c>
      <c r="P76" s="152">
        <f t="shared" si="110"/>
        <v>2.7214285714285715</v>
      </c>
      <c r="Q76" s="191">
        <f t="shared" si="111"/>
        <v>9.4494047619047616E-2</v>
      </c>
      <c r="R76" s="191">
        <f t="shared" si="112"/>
        <v>0.11811755952380952</v>
      </c>
      <c r="S76" s="386">
        <f t="shared" si="113"/>
        <v>20</v>
      </c>
      <c r="T76" s="191">
        <f t="shared" si="114"/>
        <v>0.56352755905511809</v>
      </c>
      <c r="U76" s="191">
        <f t="shared" si="115"/>
        <v>4.2264566929133851</v>
      </c>
      <c r="V76" s="191">
        <f t="shared" si="116"/>
        <v>4.159898319796639</v>
      </c>
      <c r="W76" s="175">
        <f t="shared" si="117"/>
        <v>350</v>
      </c>
      <c r="X76" s="386">
        <f t="shared" si="158"/>
        <v>119.24131502714113</v>
      </c>
      <c r="Z76" s="191">
        <f t="shared" si="118"/>
        <v>0.19198790627362058</v>
      </c>
      <c r="AA76" s="153">
        <f t="shared" si="119"/>
        <v>1.4172335600907029</v>
      </c>
      <c r="AB76" s="153">
        <f t="shared" si="120"/>
        <v>4.7616048182941621E-2</v>
      </c>
      <c r="AC76" s="153"/>
      <c r="AD76" s="153">
        <f t="shared" si="121"/>
        <v>1.1072834645669289</v>
      </c>
      <c r="AE76" s="317">
        <f t="shared" si="122"/>
        <v>854.94518518518521</v>
      </c>
      <c r="AF76" s="463">
        <f t="shared" si="123"/>
        <v>2.9066190944881887E-2</v>
      </c>
      <c r="AH76" s="153">
        <f t="shared" si="124"/>
        <v>0.31204395294802395</v>
      </c>
      <c r="AI76" s="153">
        <f t="shared" si="125"/>
        <v>0.56352755905511809</v>
      </c>
      <c r="AJ76" s="153">
        <f t="shared" si="126"/>
        <v>1.5063167104111985</v>
      </c>
      <c r="AL76" s="317">
        <f t="shared" si="127"/>
        <v>71</v>
      </c>
      <c r="AM76" s="147">
        <f t="shared" si="128"/>
        <v>119.24131502714113</v>
      </c>
      <c r="AO76">
        <f t="shared" si="159"/>
        <v>71</v>
      </c>
      <c r="AP76">
        <f t="shared" si="129"/>
        <v>119.24131502714113</v>
      </c>
      <c r="AR76" s="5">
        <f t="shared" si="160"/>
        <v>8.3863550127100233</v>
      </c>
      <c r="AS76" s="5">
        <f t="shared" si="130"/>
        <v>4.2264566929133851</v>
      </c>
      <c r="AT76" s="5">
        <f t="shared" si="161"/>
        <v>4.1598983197966382</v>
      </c>
      <c r="AU76" s="153">
        <f t="shared" si="162"/>
        <v>0.50396825396825407</v>
      </c>
      <c r="AW76" s="5">
        <f t="shared" si="131"/>
        <v>1.7236920000000002</v>
      </c>
      <c r="AX76" s="5">
        <f t="shared" si="132"/>
        <v>8.9021313719999959</v>
      </c>
      <c r="AY76" s="5">
        <f t="shared" si="133"/>
        <v>1.7372910952321905</v>
      </c>
      <c r="AZ76" s="5">
        <f t="shared" si="134"/>
        <v>6.5112250262294324</v>
      </c>
      <c r="BA76" s="5">
        <f t="shared" si="135"/>
        <v>0.59070556141112252</v>
      </c>
      <c r="BB76" s="147">
        <f t="shared" si="136"/>
        <v>59.496556141112251</v>
      </c>
      <c r="BC76" s="5"/>
      <c r="BD76" s="153">
        <f t="shared" si="163"/>
        <v>0.23097029157567253</v>
      </c>
      <c r="BE76" s="153">
        <f t="shared" si="137"/>
        <v>0.22914441082933273</v>
      </c>
      <c r="BF76" s="153">
        <f t="shared" si="138"/>
        <v>0.22824580529666869</v>
      </c>
      <c r="BG76" s="153"/>
      <c r="BH76" s="463">
        <f t="shared" si="139"/>
        <v>1.8671546456692913E-2</v>
      </c>
      <c r="BI76" s="463">
        <f t="shared" si="140"/>
        <v>1.354666666666667E-2</v>
      </c>
      <c r="BJ76" s="463">
        <f t="shared" si="141"/>
        <v>1.4905164378392639E-3</v>
      </c>
      <c r="BK76" s="463">
        <f t="shared" si="142"/>
        <v>9.6925446009389713E-3</v>
      </c>
      <c r="BL76">
        <f t="shared" si="143"/>
        <v>5.7999999999999996E-3</v>
      </c>
      <c r="BM76">
        <f t="shared" si="144"/>
        <v>4.471549313517792E-6</v>
      </c>
      <c r="BN76">
        <f t="shared" si="145"/>
        <v>5.1905212767241811E-2</v>
      </c>
      <c r="BO76" s="147">
        <f t="shared" si="164"/>
        <v>51.905212767241814</v>
      </c>
      <c r="BP76" s="153">
        <f t="shared" si="146"/>
        <v>6.7237471014942027E-2</v>
      </c>
      <c r="BQ76" s="153">
        <f t="shared" si="147"/>
        <v>6.6923456793540934E-2</v>
      </c>
      <c r="BR76" s="463"/>
      <c r="BT76" s="147">
        <f t="shared" si="165"/>
        <v>134.16092780848297</v>
      </c>
      <c r="BU76" s="463">
        <f t="shared" si="148"/>
        <v>4.2677820472440953E-2</v>
      </c>
      <c r="BV76" s="463">
        <f t="shared" si="149"/>
        <v>4.1795700167400328E-2</v>
      </c>
      <c r="BW76" s="463">
        <f t="shared" si="150"/>
        <v>2.6048073817762397E-3</v>
      </c>
      <c r="BX76" s="463">
        <f t="shared" si="151"/>
        <v>0</v>
      </c>
      <c r="BY76" s="463">
        <f t="shared" si="152"/>
        <v>9.8211897611075849E-2</v>
      </c>
      <c r="BZ76" s="463">
        <f t="shared" si="166"/>
        <v>8.7078328021617524E-2</v>
      </c>
      <c r="CA76" s="549">
        <f t="shared" si="153"/>
        <v>5.680000000000001E-2</v>
      </c>
      <c r="CB76" s="147">
        <f t="shared" si="167"/>
        <v>155.01189761107585</v>
      </c>
      <c r="CC76" s="153">
        <f t="shared" si="168"/>
        <v>0.34107803818680066</v>
      </c>
      <c r="CD76" s="5">
        <f t="shared" si="169"/>
        <v>2.556</v>
      </c>
      <c r="CE76" s="153">
        <f t="shared" si="170"/>
        <v>0.88226826005685643</v>
      </c>
      <c r="CF76" s="5">
        <f t="shared" si="171"/>
        <v>88.226826005685638</v>
      </c>
      <c r="CG76">
        <f t="shared" si="172"/>
        <v>70.999999999999986</v>
      </c>
      <c r="CI76" s="59">
        <f t="shared" si="154"/>
        <v>-50</v>
      </c>
      <c r="CJ76">
        <f t="shared" si="155"/>
        <v>-50</v>
      </c>
    </row>
    <row r="77" spans="5:88" x14ac:dyDescent="0.25">
      <c r="E77" s="150">
        <v>72</v>
      </c>
      <c r="F77" s="191">
        <f t="shared" si="173"/>
        <v>7.1999999999999995E-2</v>
      </c>
      <c r="G77" s="191">
        <f t="shared" si="156"/>
        <v>7.1999999999999995E-2</v>
      </c>
      <c r="H77" s="191">
        <f t="shared" si="105"/>
        <v>1.44</v>
      </c>
      <c r="I77" s="191">
        <f t="shared" si="174"/>
        <v>1.1519999999999999</v>
      </c>
      <c r="J77" s="472">
        <f t="shared" si="106"/>
        <v>20</v>
      </c>
      <c r="K77" s="386">
        <f t="shared" si="107"/>
        <v>20.32</v>
      </c>
      <c r="L77" s="386">
        <f t="shared" si="108"/>
        <v>40.32</v>
      </c>
      <c r="M77" s="386"/>
      <c r="N77" s="191">
        <f t="shared" si="109"/>
        <v>0.50396825396825395</v>
      </c>
      <c r="O77" s="152">
        <f t="shared" si="157"/>
        <v>1.8898809523809523</v>
      </c>
      <c r="P77" s="152">
        <f t="shared" si="110"/>
        <v>2.7214285714285715</v>
      </c>
      <c r="Q77" s="191">
        <f t="shared" si="111"/>
        <v>9.4494047619047616E-2</v>
      </c>
      <c r="R77" s="191">
        <f t="shared" si="112"/>
        <v>0.11811755952380952</v>
      </c>
      <c r="S77" s="386">
        <f t="shared" si="113"/>
        <v>20</v>
      </c>
      <c r="T77" s="191">
        <f t="shared" si="114"/>
        <v>0.57146456692913383</v>
      </c>
      <c r="U77" s="191">
        <f t="shared" si="115"/>
        <v>4.285984251968503</v>
      </c>
      <c r="V77" s="191">
        <f t="shared" si="116"/>
        <v>4.2184884369768731</v>
      </c>
      <c r="W77" s="175">
        <f t="shared" si="117"/>
        <v>350</v>
      </c>
      <c r="X77" s="386">
        <f t="shared" si="158"/>
        <v>117.58518565176415</v>
      </c>
      <c r="Z77" s="191">
        <f t="shared" si="118"/>
        <v>0.19198790627362058</v>
      </c>
      <c r="AA77" s="153">
        <f t="shared" si="119"/>
        <v>1.4172335600907029</v>
      </c>
      <c r="AB77" s="153">
        <f t="shared" si="120"/>
        <v>4.7616048182941621E-2</v>
      </c>
      <c r="AC77" s="153"/>
      <c r="AD77" s="153">
        <f t="shared" si="121"/>
        <v>1.1072834645669289</v>
      </c>
      <c r="AE77" s="317">
        <f t="shared" si="122"/>
        <v>866.98666666666668</v>
      </c>
      <c r="AF77" s="463">
        <f t="shared" si="123"/>
        <v>2.9066190944881887E-2</v>
      </c>
      <c r="AH77" s="153">
        <f t="shared" si="124"/>
        <v>0.31423376193982905</v>
      </c>
      <c r="AI77" s="153">
        <f t="shared" si="125"/>
        <v>0.57146456692913383</v>
      </c>
      <c r="AJ77" s="153">
        <f t="shared" si="126"/>
        <v>1.5121959755030621</v>
      </c>
      <c r="AL77" s="317">
        <f t="shared" si="127"/>
        <v>72</v>
      </c>
      <c r="AM77" s="147">
        <f t="shared" si="128"/>
        <v>117.58518565176415</v>
      </c>
      <c r="AO77">
        <f t="shared" si="159"/>
        <v>72</v>
      </c>
      <c r="AP77">
        <f t="shared" si="129"/>
        <v>117.58518565176415</v>
      </c>
      <c r="AR77" s="5">
        <f t="shared" si="160"/>
        <v>8.504472688945377</v>
      </c>
      <c r="AS77" s="5">
        <f t="shared" si="130"/>
        <v>4.285984251968503</v>
      </c>
      <c r="AT77" s="5">
        <f t="shared" si="161"/>
        <v>4.218488436976874</v>
      </c>
      <c r="AU77" s="153">
        <f t="shared" si="162"/>
        <v>0.50396825396825395</v>
      </c>
      <c r="AW77" s="5">
        <f t="shared" si="131"/>
        <v>1.7236920000000002</v>
      </c>
      <c r="AX77" s="5">
        <f t="shared" si="132"/>
        <v>9.1516193279999971</v>
      </c>
      <c r="AY77" s="5">
        <f t="shared" si="133"/>
        <v>1.7372910952321905</v>
      </c>
      <c r="AZ77" s="5">
        <f t="shared" si="134"/>
        <v>6.6939033001335808</v>
      </c>
      <c r="BA77" s="5">
        <f t="shared" si="135"/>
        <v>0.60746233492466972</v>
      </c>
      <c r="BB77" s="147">
        <f t="shared" si="136"/>
        <v>61.17823349246698</v>
      </c>
      <c r="BC77" s="5"/>
      <c r="BD77" s="153">
        <f t="shared" si="163"/>
        <v>0.23422339427392144</v>
      </c>
      <c r="BE77" s="153">
        <f t="shared" si="137"/>
        <v>0.23237179689735152</v>
      </c>
      <c r="BF77" s="153">
        <f t="shared" si="138"/>
        <v>0.23146053494873448</v>
      </c>
      <c r="BG77" s="153"/>
      <c r="BH77" s="463">
        <f t="shared" si="139"/>
        <v>1.9201209448818899E-2</v>
      </c>
      <c r="BI77" s="463">
        <f t="shared" si="140"/>
        <v>1.3546666666666667E-2</v>
      </c>
      <c r="BJ77" s="463">
        <f t="shared" si="141"/>
        <v>1.4698148206470517E-3</v>
      </c>
      <c r="BK77" s="463">
        <f t="shared" si="142"/>
        <v>9.557925925925928E-3</v>
      </c>
      <c r="BL77">
        <f t="shared" si="143"/>
        <v>5.7999999999999996E-3</v>
      </c>
      <c r="BM77">
        <f t="shared" si="144"/>
        <v>4.4094444619411551E-6</v>
      </c>
      <c r="BN77">
        <f t="shared" si="145"/>
        <v>5.2357673086517037E-2</v>
      </c>
      <c r="BO77" s="147">
        <f t="shared" si="164"/>
        <v>52.357673086517039</v>
      </c>
      <c r="BP77" s="153">
        <f t="shared" si="146"/>
        <v>6.8757442122884246E-2</v>
      </c>
      <c r="BQ77" s="153">
        <f t="shared" si="147"/>
        <v>6.8434520138408311E-2</v>
      </c>
      <c r="BR77" s="463"/>
      <c r="BT77" s="147">
        <f t="shared" si="165"/>
        <v>137.19196226129253</v>
      </c>
      <c r="BU77" s="463">
        <f t="shared" si="148"/>
        <v>4.3888478740157486E-2</v>
      </c>
      <c r="BV77" s="463">
        <f t="shared" si="149"/>
        <v>4.2981334986669978E-2</v>
      </c>
      <c r="BW77" s="463">
        <f t="shared" si="150"/>
        <v>2.6786989619377172E-3</v>
      </c>
      <c r="BX77" s="463">
        <f t="shared" si="151"/>
        <v>0</v>
      </c>
      <c r="BY77" s="463">
        <f t="shared" si="152"/>
        <v>0.10101801525307169</v>
      </c>
      <c r="BZ77" s="463">
        <f t="shared" si="166"/>
        <v>8.9548512688765181E-2</v>
      </c>
      <c r="CA77" s="549">
        <f t="shared" si="153"/>
        <v>5.7600000000000005E-2</v>
      </c>
      <c r="CB77" s="147">
        <f t="shared" si="167"/>
        <v>158.61801525307169</v>
      </c>
      <c r="CC77" s="153">
        <f t="shared" si="168"/>
        <v>0.34816765060088128</v>
      </c>
      <c r="CD77" s="5">
        <f t="shared" si="169"/>
        <v>2.5919999999999996</v>
      </c>
      <c r="CE77" s="153">
        <f t="shared" si="170"/>
        <v>0.88158238169523206</v>
      </c>
      <c r="CF77" s="5">
        <f t="shared" si="171"/>
        <v>88.158238169523202</v>
      </c>
      <c r="CG77">
        <f t="shared" si="172"/>
        <v>71.999999999999986</v>
      </c>
      <c r="CI77" s="59">
        <f t="shared" si="154"/>
        <v>-50</v>
      </c>
      <c r="CJ77">
        <f t="shared" si="155"/>
        <v>-50</v>
      </c>
    </row>
    <row r="78" spans="5:88" x14ac:dyDescent="0.25">
      <c r="E78" s="150">
        <v>73</v>
      </c>
      <c r="F78" s="191">
        <f t="shared" si="173"/>
        <v>7.2999999999999995E-2</v>
      </c>
      <c r="G78" s="191">
        <f t="shared" si="156"/>
        <v>7.2999999999999995E-2</v>
      </c>
      <c r="H78" s="191">
        <f t="shared" si="105"/>
        <v>1.46</v>
      </c>
      <c r="I78" s="191">
        <f t="shared" si="174"/>
        <v>1.1679999999999999</v>
      </c>
      <c r="J78" s="472">
        <f t="shared" si="106"/>
        <v>20</v>
      </c>
      <c r="K78" s="386">
        <f t="shared" si="107"/>
        <v>20.32</v>
      </c>
      <c r="L78" s="386">
        <f t="shared" si="108"/>
        <v>40.32</v>
      </c>
      <c r="M78" s="386"/>
      <c r="N78" s="191">
        <f t="shared" si="109"/>
        <v>0.50396825396825395</v>
      </c>
      <c r="O78" s="152">
        <f t="shared" si="157"/>
        <v>1.8898809523809523</v>
      </c>
      <c r="P78" s="152">
        <f t="shared" si="110"/>
        <v>2.7214285714285715</v>
      </c>
      <c r="Q78" s="191">
        <f t="shared" si="111"/>
        <v>9.4494047619047616E-2</v>
      </c>
      <c r="R78" s="191">
        <f t="shared" si="112"/>
        <v>0.11811755952380952</v>
      </c>
      <c r="S78" s="386">
        <f t="shared" si="113"/>
        <v>20</v>
      </c>
      <c r="T78" s="191">
        <f t="shared" si="114"/>
        <v>0.57940157480314969</v>
      </c>
      <c r="U78" s="191">
        <f t="shared" si="115"/>
        <v>4.3455118110236217</v>
      </c>
      <c r="V78" s="191">
        <f t="shared" si="116"/>
        <v>4.2770785541571081</v>
      </c>
      <c r="W78" s="175">
        <f t="shared" si="117"/>
        <v>350</v>
      </c>
      <c r="X78" s="386">
        <f t="shared" si="158"/>
        <v>115.97442968393175</v>
      </c>
      <c r="Z78" s="191">
        <f t="shared" si="118"/>
        <v>0.19198790627362058</v>
      </c>
      <c r="AA78" s="153">
        <f t="shared" si="119"/>
        <v>1.4172335600907029</v>
      </c>
      <c r="AB78" s="153">
        <f t="shared" si="120"/>
        <v>4.7616048182941621E-2</v>
      </c>
      <c r="AC78" s="153"/>
      <c r="AD78" s="153">
        <f t="shared" si="121"/>
        <v>1.1072834645669289</v>
      </c>
      <c r="AE78" s="317">
        <f t="shared" si="122"/>
        <v>879.02814814814815</v>
      </c>
      <c r="AF78" s="463">
        <f t="shared" si="123"/>
        <v>2.9066190944881887E-2</v>
      </c>
      <c r="AH78" s="153">
        <f t="shared" si="124"/>
        <v>0.31640841599787722</v>
      </c>
      <c r="AI78" s="153">
        <f t="shared" si="125"/>
        <v>0.57940157480314969</v>
      </c>
      <c r="AJ78" s="153">
        <f t="shared" si="126"/>
        <v>1.5180752405949256</v>
      </c>
      <c r="AL78" s="317">
        <f t="shared" si="127"/>
        <v>73</v>
      </c>
      <c r="AM78" s="147">
        <f t="shared" si="128"/>
        <v>115.97442968393175</v>
      </c>
      <c r="AO78">
        <f t="shared" si="159"/>
        <v>73</v>
      </c>
      <c r="AP78">
        <f t="shared" si="129"/>
        <v>115.97442968393175</v>
      </c>
      <c r="AR78" s="5">
        <f t="shared" si="160"/>
        <v>8.6225903651807307</v>
      </c>
      <c r="AS78" s="5">
        <f t="shared" si="130"/>
        <v>4.3455118110236217</v>
      </c>
      <c r="AT78" s="5">
        <f t="shared" si="161"/>
        <v>4.277078554157109</v>
      </c>
      <c r="AU78" s="153">
        <f t="shared" si="162"/>
        <v>0.50396825396825395</v>
      </c>
      <c r="AW78" s="5">
        <f t="shared" si="131"/>
        <v>1.7236920000000002</v>
      </c>
      <c r="AX78" s="5">
        <f t="shared" si="132"/>
        <v>9.4045546679999976</v>
      </c>
      <c r="AY78" s="5">
        <f t="shared" si="133"/>
        <v>1.7372910952321905</v>
      </c>
      <c r="AZ78" s="5">
        <f t="shared" si="134"/>
        <v>6.879108542903519</v>
      </c>
      <c r="BA78" s="5">
        <f t="shared" si="135"/>
        <v>0.62445346890693787</v>
      </c>
      <c r="BB78" s="147">
        <f t="shared" si="136"/>
        <v>62.883346890693787</v>
      </c>
      <c r="BC78" s="5"/>
      <c r="BD78" s="153">
        <f t="shared" si="163"/>
        <v>0.23747649697217038</v>
      </c>
      <c r="BE78" s="153">
        <f t="shared" si="137"/>
        <v>0.23559918296537036</v>
      </c>
      <c r="BF78" s="153">
        <f t="shared" si="138"/>
        <v>0.23467526460080027</v>
      </c>
      <c r="BG78" s="153"/>
      <c r="BH78" s="463">
        <f t="shared" si="139"/>
        <v>1.9738280314960638E-2</v>
      </c>
      <c r="BI78" s="463">
        <f t="shared" si="140"/>
        <v>1.354666666666667E-2</v>
      </c>
      <c r="BJ78" s="463">
        <f t="shared" si="141"/>
        <v>1.4496803710491468E-3</v>
      </c>
      <c r="BK78" s="463">
        <f t="shared" si="142"/>
        <v>9.4269954337899559E-3</v>
      </c>
      <c r="BL78">
        <f t="shared" si="143"/>
        <v>5.7999999999999996E-3</v>
      </c>
      <c r="BM78">
        <f t="shared" si="144"/>
        <v>4.3490411131474402E-6</v>
      </c>
      <c r="BN78">
        <f t="shared" si="145"/>
        <v>5.28230058824301E-2</v>
      </c>
      <c r="BO78" s="147">
        <f t="shared" si="164"/>
        <v>52.823005882430103</v>
      </c>
      <c r="BP78" s="153">
        <f t="shared" si="146"/>
        <v>7.0293328910657843E-2</v>
      </c>
      <c r="BQ78" s="153">
        <f t="shared" si="147"/>
        <v>6.9961374579008098E-2</v>
      </c>
      <c r="BR78" s="463"/>
      <c r="BT78" s="147">
        <f t="shared" si="165"/>
        <v>140.25470348966596</v>
      </c>
      <c r="BU78" s="463">
        <f t="shared" si="148"/>
        <v>4.5116069291338601E-2</v>
      </c>
      <c r="BV78" s="463">
        <f t="shared" si="149"/>
        <v>4.4183552111104245E-2</v>
      </c>
      <c r="BW78" s="463">
        <f t="shared" si="150"/>
        <v>2.7536239907727813E-3</v>
      </c>
      <c r="BX78" s="463">
        <f t="shared" si="151"/>
        <v>0</v>
      </c>
      <c r="BY78" s="463">
        <f t="shared" si="152"/>
        <v>0.10386452013315882</v>
      </c>
      <c r="BZ78" s="463">
        <f t="shared" si="166"/>
        <v>9.2053245393215632E-2</v>
      </c>
      <c r="CA78" s="549">
        <f t="shared" si="153"/>
        <v>5.8400000000000014E-2</v>
      </c>
      <c r="CB78" s="147">
        <f t="shared" si="167"/>
        <v>162.26452013315884</v>
      </c>
      <c r="CC78" s="153">
        <f t="shared" si="168"/>
        <v>0.3553422295052549</v>
      </c>
      <c r="CD78" s="5">
        <f t="shared" si="169"/>
        <v>2.6280000000000001</v>
      </c>
      <c r="CE78" s="153">
        <f t="shared" si="170"/>
        <v>0.88089122796877928</v>
      </c>
      <c r="CF78" s="5">
        <f t="shared" si="171"/>
        <v>88.08912279687793</v>
      </c>
      <c r="CG78">
        <f t="shared" si="172"/>
        <v>72.999999999999986</v>
      </c>
      <c r="CI78" s="59">
        <f t="shared" si="154"/>
        <v>-50</v>
      </c>
      <c r="CJ78">
        <f t="shared" si="155"/>
        <v>-50</v>
      </c>
    </row>
    <row r="79" spans="5:88" x14ac:dyDescent="0.25">
      <c r="E79" s="150">
        <v>74</v>
      </c>
      <c r="F79" s="191">
        <f t="shared" si="173"/>
        <v>7.3999999999999996E-2</v>
      </c>
      <c r="G79" s="191">
        <f t="shared" si="156"/>
        <v>7.3999999999999996E-2</v>
      </c>
      <c r="H79" s="191">
        <f t="shared" si="105"/>
        <v>1.48</v>
      </c>
      <c r="I79" s="191">
        <f t="shared" si="174"/>
        <v>1.1839999999999999</v>
      </c>
      <c r="J79" s="472">
        <f t="shared" si="106"/>
        <v>20</v>
      </c>
      <c r="K79" s="386">
        <f t="shared" si="107"/>
        <v>20.32</v>
      </c>
      <c r="L79" s="386">
        <f t="shared" si="108"/>
        <v>40.32</v>
      </c>
      <c r="M79" s="386"/>
      <c r="N79" s="191">
        <f t="shared" si="109"/>
        <v>0.50396825396825395</v>
      </c>
      <c r="O79" s="152">
        <f t="shared" si="157"/>
        <v>1.8898809523809523</v>
      </c>
      <c r="P79" s="152">
        <f t="shared" si="110"/>
        <v>2.7214285714285715</v>
      </c>
      <c r="Q79" s="191">
        <f t="shared" si="111"/>
        <v>9.4494047619047616E-2</v>
      </c>
      <c r="R79" s="191">
        <f t="shared" si="112"/>
        <v>0.11811755952380952</v>
      </c>
      <c r="S79" s="386">
        <f t="shared" si="113"/>
        <v>20</v>
      </c>
      <c r="T79" s="191">
        <f t="shared" si="114"/>
        <v>0.58733858267716532</v>
      </c>
      <c r="U79" s="191">
        <f t="shared" si="115"/>
        <v>4.4050393700787396</v>
      </c>
      <c r="V79" s="191">
        <f t="shared" si="116"/>
        <v>4.3356686713373422</v>
      </c>
      <c r="W79" s="175">
        <f t="shared" si="117"/>
        <v>350</v>
      </c>
      <c r="X79" s="386">
        <f t="shared" si="158"/>
        <v>114.40720766117595</v>
      </c>
      <c r="Z79" s="191">
        <f t="shared" si="118"/>
        <v>0.19198790627362058</v>
      </c>
      <c r="AA79" s="153">
        <f t="shared" si="119"/>
        <v>1.4172335600907029</v>
      </c>
      <c r="AB79" s="153">
        <f t="shared" si="120"/>
        <v>4.7616048182941621E-2</v>
      </c>
      <c r="AC79" s="153"/>
      <c r="AD79" s="153">
        <f t="shared" si="121"/>
        <v>1.1072834645669289</v>
      </c>
      <c r="AE79" s="317">
        <f t="shared" si="122"/>
        <v>891.06962962962962</v>
      </c>
      <c r="AF79" s="463">
        <f t="shared" si="123"/>
        <v>2.9066190944881887E-2</v>
      </c>
      <c r="AH79" s="153">
        <f t="shared" si="124"/>
        <v>0.31856822548037383</v>
      </c>
      <c r="AI79" s="153">
        <f t="shared" si="125"/>
        <v>0.58733858267716532</v>
      </c>
      <c r="AJ79" s="153">
        <f t="shared" si="126"/>
        <v>1.5239545056867891</v>
      </c>
      <c r="AL79" s="317">
        <f t="shared" si="127"/>
        <v>74</v>
      </c>
      <c r="AM79" s="147">
        <f t="shared" si="128"/>
        <v>114.40720766117595</v>
      </c>
      <c r="AO79">
        <f t="shared" si="159"/>
        <v>74</v>
      </c>
      <c r="AP79">
        <f t="shared" si="129"/>
        <v>114.40720766117595</v>
      </c>
      <c r="AR79" s="5">
        <f t="shared" si="160"/>
        <v>8.7407080414160809</v>
      </c>
      <c r="AS79" s="5">
        <f t="shared" si="130"/>
        <v>4.4050393700787396</v>
      </c>
      <c r="AT79" s="5">
        <f t="shared" si="161"/>
        <v>4.3356686713373414</v>
      </c>
      <c r="AU79" s="153">
        <f t="shared" si="162"/>
        <v>0.50396825396825407</v>
      </c>
      <c r="AW79" s="5">
        <f t="shared" si="131"/>
        <v>1.7236920000000002</v>
      </c>
      <c r="AX79" s="5">
        <f t="shared" si="132"/>
        <v>9.6609373919999975</v>
      </c>
      <c r="AY79" s="5">
        <f t="shared" si="133"/>
        <v>1.7372910952321905</v>
      </c>
      <c r="AZ79" s="5">
        <f t="shared" si="134"/>
        <v>7.0668407545392524</v>
      </c>
      <c r="BA79" s="5">
        <f t="shared" si="135"/>
        <v>0.6416789633579264</v>
      </c>
      <c r="BB79" s="147">
        <f t="shared" si="136"/>
        <v>64.61189633579265</v>
      </c>
      <c r="BC79" s="5"/>
      <c r="BD79" s="153">
        <f t="shared" si="163"/>
        <v>0.24072959967041924</v>
      </c>
      <c r="BE79" s="153">
        <f t="shared" si="137"/>
        <v>0.23882656903338903</v>
      </c>
      <c r="BF79" s="153">
        <f t="shared" si="138"/>
        <v>0.23788999425286594</v>
      </c>
      <c r="BG79" s="153"/>
      <c r="BH79" s="463">
        <f t="shared" si="139"/>
        <v>2.0282759055118105E-2</v>
      </c>
      <c r="BI79" s="463">
        <f t="shared" si="140"/>
        <v>1.354666666666667E-2</v>
      </c>
      <c r="BJ79" s="463">
        <f t="shared" si="141"/>
        <v>1.4300900957646993E-3</v>
      </c>
      <c r="BK79" s="463">
        <f t="shared" si="142"/>
        <v>9.2996036036036081E-3</v>
      </c>
      <c r="BL79">
        <f t="shared" si="143"/>
        <v>5.7999999999999996E-3</v>
      </c>
      <c r="BM79">
        <f t="shared" si="144"/>
        <v>4.290270287294098E-6</v>
      </c>
      <c r="BN79">
        <f t="shared" si="145"/>
        <v>5.3301043679641141E-2</v>
      </c>
      <c r="BO79" s="147">
        <f t="shared" si="164"/>
        <v>53.30104367964114</v>
      </c>
      <c r="BP79" s="153">
        <f t="shared" si="146"/>
        <v>7.1845131378262747E-2</v>
      </c>
      <c r="BQ79" s="153">
        <f t="shared" si="147"/>
        <v>7.1504020115340253E-2</v>
      </c>
      <c r="BR79" s="463"/>
      <c r="BT79" s="147">
        <f t="shared" si="165"/>
        <v>143.34915149360299</v>
      </c>
      <c r="BU79" s="463">
        <f t="shared" si="148"/>
        <v>4.636059212598425E-2</v>
      </c>
      <c r="BV79" s="463">
        <f t="shared" si="149"/>
        <v>4.5402351540703073E-2</v>
      </c>
      <c r="BW79" s="463">
        <f t="shared" si="150"/>
        <v>2.8295824682814299E-3</v>
      </c>
      <c r="BX79" s="463">
        <f t="shared" si="151"/>
        <v>0</v>
      </c>
      <c r="BY79" s="463">
        <f t="shared" si="152"/>
        <v>0.10675146049652209</v>
      </c>
      <c r="BZ79" s="463">
        <f t="shared" si="166"/>
        <v>9.4592526134968755E-2</v>
      </c>
      <c r="CA79" s="549">
        <f t="shared" si="153"/>
        <v>5.9200000000000016E-2</v>
      </c>
      <c r="CB79" s="147">
        <f t="shared" si="167"/>
        <v>165.95146049652209</v>
      </c>
      <c r="CC79" s="153">
        <f t="shared" si="168"/>
        <v>0.36260165566976621</v>
      </c>
      <c r="CD79" s="5">
        <f t="shared" si="169"/>
        <v>2.6639999999999997</v>
      </c>
      <c r="CE79" s="153">
        <f t="shared" si="170"/>
        <v>0.88019511752050339</v>
      </c>
      <c r="CF79" s="5">
        <f t="shared" si="171"/>
        <v>88.019511752050335</v>
      </c>
      <c r="CG79">
        <f t="shared" si="172"/>
        <v>73.999999999999986</v>
      </c>
      <c r="CI79" s="59">
        <f t="shared" si="154"/>
        <v>-50</v>
      </c>
      <c r="CJ79">
        <f t="shared" si="155"/>
        <v>-50</v>
      </c>
    </row>
    <row r="80" spans="5:88" x14ac:dyDescent="0.25">
      <c r="E80" s="150">
        <v>75</v>
      </c>
      <c r="F80" s="191">
        <f t="shared" si="173"/>
        <v>7.5000000000000011E-2</v>
      </c>
      <c r="G80" s="191">
        <f t="shared" si="156"/>
        <v>7.5000000000000011E-2</v>
      </c>
      <c r="H80" s="191">
        <f t="shared" si="105"/>
        <v>1.5000000000000002</v>
      </c>
      <c r="I80" s="191">
        <f t="shared" si="174"/>
        <v>1.2000000000000002</v>
      </c>
      <c r="J80" s="472">
        <f t="shared" si="106"/>
        <v>20</v>
      </c>
      <c r="K80" s="386">
        <f t="shared" si="107"/>
        <v>20.32</v>
      </c>
      <c r="L80" s="386">
        <f t="shared" si="108"/>
        <v>40.32</v>
      </c>
      <c r="M80" s="386"/>
      <c r="N80" s="191">
        <f t="shared" si="109"/>
        <v>0.50396825396825395</v>
      </c>
      <c r="O80" s="152">
        <f t="shared" si="157"/>
        <v>1.8898809523809523</v>
      </c>
      <c r="P80" s="152">
        <f t="shared" si="110"/>
        <v>2.7214285714285715</v>
      </c>
      <c r="Q80" s="191">
        <f t="shared" si="111"/>
        <v>9.4494047619047616E-2</v>
      </c>
      <c r="R80" s="191">
        <f t="shared" si="112"/>
        <v>0.11811755952380952</v>
      </c>
      <c r="S80" s="386">
        <f t="shared" si="113"/>
        <v>20</v>
      </c>
      <c r="T80" s="191">
        <f t="shared" si="114"/>
        <v>0.59527559055118118</v>
      </c>
      <c r="U80" s="191">
        <f t="shared" si="115"/>
        <v>4.4645669291338583</v>
      </c>
      <c r="V80" s="191">
        <f t="shared" si="116"/>
        <v>4.3942587885175763</v>
      </c>
      <c r="W80" s="175">
        <f t="shared" si="117"/>
        <v>350</v>
      </c>
      <c r="X80" s="386">
        <f t="shared" si="158"/>
        <v>112.88177822569358</v>
      </c>
      <c r="Z80" s="191">
        <f t="shared" si="118"/>
        <v>0.19198790627362058</v>
      </c>
      <c r="AA80" s="153">
        <f t="shared" si="119"/>
        <v>1.4172335600907029</v>
      </c>
      <c r="AB80" s="153">
        <f t="shared" si="120"/>
        <v>4.7616048182941621E-2</v>
      </c>
      <c r="AC80" s="153"/>
      <c r="AD80" s="153">
        <f t="shared" si="121"/>
        <v>1.1072834645669289</v>
      </c>
      <c r="AE80" s="317">
        <f t="shared" si="122"/>
        <v>903.11111111111131</v>
      </c>
      <c r="AF80" s="463">
        <f t="shared" si="123"/>
        <v>2.9066190944881887E-2</v>
      </c>
      <c r="AH80" s="153">
        <f t="shared" si="124"/>
        <v>0.32071349029490931</v>
      </c>
      <c r="AI80" s="153">
        <f t="shared" si="125"/>
        <v>0.59527559055118118</v>
      </c>
      <c r="AJ80" s="153">
        <f t="shared" si="126"/>
        <v>1.5298337707786527</v>
      </c>
      <c r="AL80" s="317">
        <f t="shared" si="127"/>
        <v>75.000000000000014</v>
      </c>
      <c r="AM80" s="147">
        <f t="shared" si="128"/>
        <v>112.88177822569358</v>
      </c>
      <c r="AO80">
        <f t="shared" si="159"/>
        <v>75.000000000000014</v>
      </c>
      <c r="AP80">
        <f t="shared" si="129"/>
        <v>112.88177822569358</v>
      </c>
      <c r="AR80" s="5">
        <f t="shared" si="160"/>
        <v>8.8588257176514347</v>
      </c>
      <c r="AS80" s="5">
        <f t="shared" si="130"/>
        <v>4.4645669291338583</v>
      </c>
      <c r="AT80" s="5">
        <f t="shared" si="161"/>
        <v>4.3942587885175763</v>
      </c>
      <c r="AU80" s="153">
        <f t="shared" si="162"/>
        <v>0.50396825396825407</v>
      </c>
      <c r="AW80" s="5">
        <f t="shared" si="131"/>
        <v>1.7236920000000002</v>
      </c>
      <c r="AX80" s="5">
        <f t="shared" si="132"/>
        <v>9.920767500000002</v>
      </c>
      <c r="AY80" s="5">
        <f t="shared" si="133"/>
        <v>1.7372910952321905</v>
      </c>
      <c r="AZ80" s="5">
        <f t="shared" si="134"/>
        <v>7.2570999350407801</v>
      </c>
      <c r="BA80" s="5">
        <f t="shared" si="135"/>
        <v>0.65913881827763643</v>
      </c>
      <c r="BB80" s="147">
        <f t="shared" si="136"/>
        <v>66.363881827763649</v>
      </c>
      <c r="BC80" s="5"/>
      <c r="BD80" s="153">
        <f t="shared" si="163"/>
        <v>0.2439827023686682</v>
      </c>
      <c r="BE80" s="153">
        <f t="shared" si="137"/>
        <v>0.24205395510140784</v>
      </c>
      <c r="BF80" s="153">
        <f t="shared" si="138"/>
        <v>0.24110472390493176</v>
      </c>
      <c r="BG80" s="153"/>
      <c r="BH80" s="463">
        <f t="shared" si="139"/>
        <v>2.0834645669291347E-2</v>
      </c>
      <c r="BI80" s="463">
        <f t="shared" si="140"/>
        <v>1.354666666666667E-2</v>
      </c>
      <c r="BJ80" s="463">
        <f t="shared" si="141"/>
        <v>1.4110222278211695E-3</v>
      </c>
      <c r="BK80" s="463">
        <f t="shared" si="142"/>
        <v>9.1756088888888913E-3</v>
      </c>
      <c r="BL80">
        <f t="shared" si="143"/>
        <v>5.7999999999999996E-3</v>
      </c>
      <c r="BM80">
        <f t="shared" si="144"/>
        <v>4.2330666834635088E-6</v>
      </c>
      <c r="BN80">
        <f t="shared" si="145"/>
        <v>5.379162828025906E-2</v>
      </c>
      <c r="BO80" s="147">
        <f t="shared" si="164"/>
        <v>53.791628280259062</v>
      </c>
      <c r="BP80" s="153">
        <f t="shared" si="146"/>
        <v>7.341284952569907E-2</v>
      </c>
      <c r="BQ80" s="153">
        <f t="shared" si="147"/>
        <v>7.3062456747404872E-2</v>
      </c>
      <c r="BR80" s="463"/>
      <c r="BT80" s="147">
        <f t="shared" si="165"/>
        <v>146.47530627310397</v>
      </c>
      <c r="BU80" s="463">
        <f t="shared" si="148"/>
        <v>4.7622047244094509E-2</v>
      </c>
      <c r="BV80" s="463">
        <f t="shared" si="149"/>
        <v>4.663773327546656E-2</v>
      </c>
      <c r="BW80" s="463">
        <f t="shared" si="150"/>
        <v>2.9065743944636686E-3</v>
      </c>
      <c r="BX80" s="463">
        <f t="shared" si="151"/>
        <v>0</v>
      </c>
      <c r="BY80" s="463">
        <f t="shared" si="152"/>
        <v>0.10967888530338478</v>
      </c>
      <c r="BZ80" s="463">
        <f t="shared" si="166"/>
        <v>9.7166354914024741E-2</v>
      </c>
      <c r="CA80" s="549">
        <f t="shared" si="153"/>
        <v>6.0000000000000026E-2</v>
      </c>
      <c r="CB80" s="147">
        <f t="shared" si="167"/>
        <v>169.67888530338482</v>
      </c>
      <c r="CC80" s="153">
        <f t="shared" si="168"/>
        <v>0.36994581985674779</v>
      </c>
      <c r="CD80" s="5">
        <f t="shared" si="169"/>
        <v>2.7</v>
      </c>
      <c r="CE80" s="153">
        <f t="shared" si="170"/>
        <v>0.87949434890221923</v>
      </c>
      <c r="CF80" s="5">
        <f t="shared" si="171"/>
        <v>87.949434890221923</v>
      </c>
      <c r="CG80">
        <f t="shared" si="172"/>
        <v>75.000000000000014</v>
      </c>
      <c r="CI80" s="59">
        <f t="shared" si="154"/>
        <v>-50</v>
      </c>
      <c r="CJ80">
        <f t="shared" si="155"/>
        <v>-50</v>
      </c>
    </row>
    <row r="81" spans="5:88" x14ac:dyDescent="0.25">
      <c r="E81" s="150">
        <v>76</v>
      </c>
      <c r="F81" s="191">
        <f t="shared" si="173"/>
        <v>7.6000000000000012E-2</v>
      </c>
      <c r="G81" s="191">
        <f t="shared" si="156"/>
        <v>7.6000000000000012E-2</v>
      </c>
      <c r="H81" s="191">
        <f t="shared" si="105"/>
        <v>1.5200000000000002</v>
      </c>
      <c r="I81" s="191">
        <f t="shared" si="174"/>
        <v>1.2160000000000002</v>
      </c>
      <c r="J81" s="472">
        <f t="shared" si="106"/>
        <v>20</v>
      </c>
      <c r="K81" s="386">
        <f t="shared" si="107"/>
        <v>20.32</v>
      </c>
      <c r="L81" s="386">
        <f t="shared" si="108"/>
        <v>40.32</v>
      </c>
      <c r="M81" s="386"/>
      <c r="N81" s="191">
        <f t="shared" si="109"/>
        <v>0.50396825396825395</v>
      </c>
      <c r="O81" s="152">
        <f t="shared" si="157"/>
        <v>1.8898809523809523</v>
      </c>
      <c r="P81" s="152">
        <f t="shared" si="110"/>
        <v>2.7214285714285715</v>
      </c>
      <c r="Q81" s="191">
        <f t="shared" si="111"/>
        <v>9.4494047619047616E-2</v>
      </c>
      <c r="R81" s="191">
        <f t="shared" si="112"/>
        <v>0.11811755952380952</v>
      </c>
      <c r="S81" s="386">
        <f t="shared" si="113"/>
        <v>20</v>
      </c>
      <c r="T81" s="191">
        <f t="shared" si="114"/>
        <v>0.60321259842519703</v>
      </c>
      <c r="U81" s="191">
        <f t="shared" si="115"/>
        <v>4.5240944881889771</v>
      </c>
      <c r="V81" s="191">
        <f t="shared" si="116"/>
        <v>4.4528489056978122</v>
      </c>
      <c r="W81" s="175">
        <f t="shared" si="117"/>
        <v>350</v>
      </c>
      <c r="X81" s="386">
        <f t="shared" si="158"/>
        <v>111.39649167009233</v>
      </c>
      <c r="Z81" s="191">
        <f t="shared" si="118"/>
        <v>0.19198790627362058</v>
      </c>
      <c r="AA81" s="153">
        <f t="shared" si="119"/>
        <v>1.4172335600907029</v>
      </c>
      <c r="AB81" s="153">
        <f t="shared" si="120"/>
        <v>4.7616048182941621E-2</v>
      </c>
      <c r="AC81" s="153"/>
      <c r="AD81" s="153">
        <f t="shared" si="121"/>
        <v>1.1072834645669289</v>
      </c>
      <c r="AE81" s="317">
        <f t="shared" si="122"/>
        <v>915.15259259259278</v>
      </c>
      <c r="AF81" s="463">
        <f t="shared" si="123"/>
        <v>2.9066190944881887E-2</v>
      </c>
      <c r="AH81" s="153">
        <f t="shared" si="124"/>
        <v>0.32284450038458368</v>
      </c>
      <c r="AI81" s="153">
        <f t="shared" si="125"/>
        <v>0.60321259842519703</v>
      </c>
      <c r="AJ81" s="153">
        <f t="shared" si="126"/>
        <v>1.5357130358705162</v>
      </c>
      <c r="AL81" s="317">
        <f t="shared" si="127"/>
        <v>76.000000000000014</v>
      </c>
      <c r="AM81" s="147">
        <f t="shared" si="128"/>
        <v>111.39649167009233</v>
      </c>
      <c r="AO81">
        <f t="shared" si="159"/>
        <v>76.000000000000014</v>
      </c>
      <c r="AP81">
        <f t="shared" si="129"/>
        <v>111.39649167009233</v>
      </c>
      <c r="AR81" s="5">
        <f t="shared" si="160"/>
        <v>8.9769433938867884</v>
      </c>
      <c r="AS81" s="5">
        <f t="shared" si="130"/>
        <v>4.5240944881889771</v>
      </c>
      <c r="AT81" s="5">
        <f t="shared" si="161"/>
        <v>4.4528489056978113</v>
      </c>
      <c r="AU81" s="153">
        <f t="shared" si="162"/>
        <v>0.50396825396825407</v>
      </c>
      <c r="AW81" s="5">
        <f t="shared" si="131"/>
        <v>1.7236920000000002</v>
      </c>
      <c r="AX81" s="5">
        <f t="shared" si="132"/>
        <v>10.184044992</v>
      </c>
      <c r="AY81" s="5">
        <f t="shared" si="133"/>
        <v>1.7372910952321905</v>
      </c>
      <c r="AZ81" s="5">
        <f t="shared" si="134"/>
        <v>7.4498860844080976</v>
      </c>
      <c r="BA81" s="5">
        <f t="shared" si="135"/>
        <v>0.6768330336660674</v>
      </c>
      <c r="BB81" s="147">
        <f t="shared" si="136"/>
        <v>68.13930336660674</v>
      </c>
      <c r="BC81" s="5"/>
      <c r="BD81" s="153">
        <f t="shared" si="163"/>
        <v>0.24723580506691714</v>
      </c>
      <c r="BE81" s="153">
        <f t="shared" si="137"/>
        <v>0.24528134116942665</v>
      </c>
      <c r="BF81" s="153">
        <f t="shared" si="138"/>
        <v>0.24431945355699758</v>
      </c>
      <c r="BG81" s="153"/>
      <c r="BH81" s="463">
        <f t="shared" si="139"/>
        <v>2.1393940157480328E-2</v>
      </c>
      <c r="BI81" s="463">
        <f t="shared" si="140"/>
        <v>1.354666666666667E-2</v>
      </c>
      <c r="BJ81" s="463">
        <f t="shared" si="141"/>
        <v>1.3924561458761541E-3</v>
      </c>
      <c r="BK81" s="463">
        <f t="shared" si="142"/>
        <v>9.0548771929824575E-3</v>
      </c>
      <c r="BL81">
        <f t="shared" si="143"/>
        <v>5.7999999999999996E-3</v>
      </c>
      <c r="BM81">
        <f t="shared" si="144"/>
        <v>4.1773684376284626E-6</v>
      </c>
      <c r="BN81">
        <f t="shared" si="145"/>
        <v>5.4294610158394221E-2</v>
      </c>
      <c r="BO81" s="147">
        <f t="shared" si="164"/>
        <v>54.294610158394221</v>
      </c>
      <c r="BP81" s="153">
        <f t="shared" si="146"/>
        <v>7.4996483352966728E-2</v>
      </c>
      <c r="BQ81" s="153">
        <f t="shared" si="147"/>
        <v>7.46366844752019E-2</v>
      </c>
      <c r="BR81" s="463"/>
      <c r="BT81" s="147">
        <f t="shared" si="165"/>
        <v>149.63316782816864</v>
      </c>
      <c r="BU81" s="463">
        <f t="shared" si="148"/>
        <v>4.8900434645669323E-2</v>
      </c>
      <c r="BV81" s="463">
        <f t="shared" si="149"/>
        <v>4.788969731539465E-2</v>
      </c>
      <c r="BW81" s="463">
        <f t="shared" si="150"/>
        <v>2.9845997693194949E-3</v>
      </c>
      <c r="BX81" s="463">
        <f t="shared" si="151"/>
        <v>0</v>
      </c>
      <c r="BY81" s="463">
        <f t="shared" si="152"/>
        <v>0.11264684423110413</v>
      </c>
      <c r="BZ81" s="463">
        <f t="shared" si="166"/>
        <v>9.9774731730383481E-2</v>
      </c>
      <c r="CA81" s="549">
        <f t="shared" si="153"/>
        <v>6.0800000000000035E-2</v>
      </c>
      <c r="CB81" s="147">
        <f t="shared" si="167"/>
        <v>173.44684423110419</v>
      </c>
      <c r="CC81" s="153">
        <f t="shared" si="168"/>
        <v>0.37737462221766699</v>
      </c>
      <c r="CD81" s="5">
        <f t="shared" si="169"/>
        <v>2.7360000000000007</v>
      </c>
      <c r="CE81" s="153">
        <f t="shared" si="170"/>
        <v>0.87878920206882727</v>
      </c>
      <c r="CF81" s="5">
        <f t="shared" si="171"/>
        <v>87.878920206882725</v>
      </c>
      <c r="CG81">
        <f t="shared" si="172"/>
        <v>76.000000000000014</v>
      </c>
      <c r="CI81" s="59">
        <f t="shared" si="154"/>
        <v>-50</v>
      </c>
      <c r="CJ81">
        <f t="shared" si="155"/>
        <v>-50</v>
      </c>
    </row>
    <row r="82" spans="5:88" x14ac:dyDescent="0.25">
      <c r="E82" s="150">
        <v>77</v>
      </c>
      <c r="F82" s="191">
        <f t="shared" si="173"/>
        <v>7.7000000000000013E-2</v>
      </c>
      <c r="G82" s="191">
        <f t="shared" si="156"/>
        <v>7.7000000000000013E-2</v>
      </c>
      <c r="H82" s="191">
        <f t="shared" si="105"/>
        <v>1.5400000000000003</v>
      </c>
      <c r="I82" s="191">
        <f t="shared" si="174"/>
        <v>1.2320000000000002</v>
      </c>
      <c r="J82" s="472">
        <f t="shared" si="106"/>
        <v>20</v>
      </c>
      <c r="K82" s="386">
        <f t="shared" si="107"/>
        <v>20.32</v>
      </c>
      <c r="L82" s="386">
        <f t="shared" si="108"/>
        <v>40.32</v>
      </c>
      <c r="M82" s="386"/>
      <c r="N82" s="191">
        <f t="shared" si="109"/>
        <v>0.50396825396825395</v>
      </c>
      <c r="O82" s="152">
        <f t="shared" si="157"/>
        <v>1.8898809523809523</v>
      </c>
      <c r="P82" s="152">
        <f t="shared" si="110"/>
        <v>2.7214285714285715</v>
      </c>
      <c r="Q82" s="191">
        <f t="shared" si="111"/>
        <v>9.4494047619047616E-2</v>
      </c>
      <c r="R82" s="191">
        <f t="shared" si="112"/>
        <v>0.11811755952380952</v>
      </c>
      <c r="S82" s="386">
        <f t="shared" si="113"/>
        <v>20</v>
      </c>
      <c r="T82" s="191">
        <f t="shared" si="114"/>
        <v>0.61114960629921267</v>
      </c>
      <c r="U82" s="191">
        <f t="shared" si="115"/>
        <v>4.5836220472440949</v>
      </c>
      <c r="V82" s="191">
        <f t="shared" si="116"/>
        <v>4.5114390228780463</v>
      </c>
      <c r="W82" s="175">
        <f t="shared" si="117"/>
        <v>350</v>
      </c>
      <c r="X82" s="386">
        <f t="shared" si="158"/>
        <v>109.94978398606514</v>
      </c>
      <c r="Z82" s="191">
        <f t="shared" si="118"/>
        <v>0.19198790627362058</v>
      </c>
      <c r="AA82" s="153">
        <f t="shared" si="119"/>
        <v>1.4172335600907029</v>
      </c>
      <c r="AB82" s="153">
        <f t="shared" si="120"/>
        <v>4.7616048182941621E-2</v>
      </c>
      <c r="AC82" s="153"/>
      <c r="AD82" s="153">
        <f t="shared" si="121"/>
        <v>1.1072834645669289</v>
      </c>
      <c r="AE82" s="317">
        <f t="shared" si="122"/>
        <v>927.19407407407425</v>
      </c>
      <c r="AF82" s="463">
        <f t="shared" si="123"/>
        <v>2.9066190944881887E-2</v>
      </c>
      <c r="AH82" s="153">
        <f t="shared" si="124"/>
        <v>0.32496153618543844</v>
      </c>
      <c r="AI82" s="153">
        <f t="shared" si="125"/>
        <v>0.61114960629921267</v>
      </c>
      <c r="AJ82" s="153">
        <f t="shared" si="126"/>
        <v>1.5415923009623798</v>
      </c>
      <c r="AL82" s="317">
        <f t="shared" si="127"/>
        <v>77.000000000000014</v>
      </c>
      <c r="AM82" s="147">
        <f t="shared" si="128"/>
        <v>109.94978398606514</v>
      </c>
      <c r="AO82">
        <f t="shared" si="159"/>
        <v>77.000000000000014</v>
      </c>
      <c r="AP82">
        <f t="shared" si="129"/>
        <v>109.94978398606514</v>
      </c>
      <c r="AR82" s="5">
        <f t="shared" si="160"/>
        <v>9.0950610701221422</v>
      </c>
      <c r="AS82" s="5">
        <f t="shared" si="130"/>
        <v>4.5836220472440949</v>
      </c>
      <c r="AT82" s="5">
        <f t="shared" si="161"/>
        <v>4.5114390228780472</v>
      </c>
      <c r="AU82" s="153">
        <f t="shared" si="162"/>
        <v>0.50396825396825395</v>
      </c>
      <c r="AW82" s="5">
        <f t="shared" si="131"/>
        <v>1.7236920000000002</v>
      </c>
      <c r="AX82" s="5">
        <f t="shared" si="132"/>
        <v>10.450769868000004</v>
      </c>
      <c r="AY82" s="5">
        <f t="shared" si="133"/>
        <v>1.7372910952321905</v>
      </c>
      <c r="AZ82" s="5">
        <f t="shared" si="134"/>
        <v>7.6451992026412068</v>
      </c>
      <c r="BA82" s="5">
        <f t="shared" si="135"/>
        <v>0.6947616095232193</v>
      </c>
      <c r="BB82" s="147">
        <f t="shared" si="136"/>
        <v>69.938160952321923</v>
      </c>
      <c r="BC82" s="5"/>
      <c r="BD82" s="153">
        <f t="shared" si="163"/>
        <v>0.25048890776516602</v>
      </c>
      <c r="BE82" s="153">
        <f t="shared" si="137"/>
        <v>0.24850872723744544</v>
      </c>
      <c r="BF82" s="153">
        <f t="shared" si="138"/>
        <v>0.24753418320906331</v>
      </c>
      <c r="BG82" s="153"/>
      <c r="BH82" s="463">
        <f t="shared" si="139"/>
        <v>2.1960642519685047E-2</v>
      </c>
      <c r="BI82" s="463">
        <f t="shared" si="140"/>
        <v>1.3546666666666665E-2</v>
      </c>
      <c r="BJ82" s="463">
        <f t="shared" si="141"/>
        <v>1.3743722998258144E-3</v>
      </c>
      <c r="BK82" s="463">
        <f t="shared" si="142"/>
        <v>8.937281385281385E-3</v>
      </c>
      <c r="BL82">
        <f t="shared" si="143"/>
        <v>5.7999999999999996E-3</v>
      </c>
      <c r="BM82">
        <f t="shared" si="144"/>
        <v>4.1231168994774428E-6</v>
      </c>
      <c r="BN82">
        <f t="shared" si="145"/>
        <v>5.4809847901899106E-2</v>
      </c>
      <c r="BO82" s="147">
        <f t="shared" si="164"/>
        <v>54.809847901899104</v>
      </c>
      <c r="BP82" s="153">
        <f t="shared" si="146"/>
        <v>7.6596032860065763E-2</v>
      </c>
      <c r="BQ82" s="153">
        <f t="shared" si="147"/>
        <v>7.6226703298731296E-2</v>
      </c>
      <c r="BR82" s="463"/>
      <c r="BT82" s="147">
        <f t="shared" si="165"/>
        <v>152.82273615879706</v>
      </c>
      <c r="BU82" s="463">
        <f t="shared" si="148"/>
        <v>5.0195754330708692E-2</v>
      </c>
      <c r="BV82" s="463">
        <f t="shared" si="149"/>
        <v>4.9158243660487343E-2</v>
      </c>
      <c r="BW82" s="463">
        <f t="shared" si="150"/>
        <v>3.0636585928489062E-3</v>
      </c>
      <c r="BX82" s="463">
        <f t="shared" si="151"/>
        <v>0</v>
      </c>
      <c r="BY82" s="463">
        <f t="shared" si="152"/>
        <v>0.11565538767630042</v>
      </c>
      <c r="BZ82" s="463">
        <f t="shared" si="166"/>
        <v>0.10241765658404495</v>
      </c>
      <c r="CA82" s="549">
        <f t="shared" si="153"/>
        <v>6.1600000000000009E-2</v>
      </c>
      <c r="CB82" s="147">
        <f t="shared" si="167"/>
        <v>177.25538767630042</v>
      </c>
      <c r="CC82" s="153">
        <f t="shared" si="168"/>
        <v>0.38488797173699657</v>
      </c>
      <c r="CD82" s="5">
        <f t="shared" si="169"/>
        <v>2.7720000000000002</v>
      </c>
      <c r="CE82" s="153">
        <f t="shared" si="170"/>
        <v>0.8780799397435628</v>
      </c>
      <c r="CF82" s="5">
        <f t="shared" si="171"/>
        <v>87.807993974356279</v>
      </c>
      <c r="CG82">
        <f t="shared" si="172"/>
        <v>77.000000000000014</v>
      </c>
      <c r="CI82" s="59">
        <f t="shared" si="154"/>
        <v>-50</v>
      </c>
      <c r="CJ82">
        <f t="shared" si="155"/>
        <v>-50</v>
      </c>
    </row>
    <row r="83" spans="5:88" x14ac:dyDescent="0.25">
      <c r="E83" s="150">
        <v>78</v>
      </c>
      <c r="F83" s="191">
        <f t="shared" si="173"/>
        <v>7.8000000000000014E-2</v>
      </c>
      <c r="G83" s="191">
        <f t="shared" si="156"/>
        <v>7.8000000000000014E-2</v>
      </c>
      <c r="H83" s="191">
        <f t="shared" si="105"/>
        <v>1.5600000000000003</v>
      </c>
      <c r="I83" s="191">
        <f t="shared" si="174"/>
        <v>1.2480000000000002</v>
      </c>
      <c r="J83" s="472">
        <f t="shared" si="106"/>
        <v>20</v>
      </c>
      <c r="K83" s="386">
        <f t="shared" si="107"/>
        <v>20.32</v>
      </c>
      <c r="L83" s="386">
        <f t="shared" si="108"/>
        <v>40.32</v>
      </c>
      <c r="M83" s="386"/>
      <c r="N83" s="191">
        <f t="shared" si="109"/>
        <v>0.50396825396825395</v>
      </c>
      <c r="O83" s="152">
        <f t="shared" si="157"/>
        <v>1.8898809523809523</v>
      </c>
      <c r="P83" s="152">
        <f t="shared" si="110"/>
        <v>2.7214285714285715</v>
      </c>
      <c r="Q83" s="191">
        <f t="shared" si="111"/>
        <v>9.4494047619047616E-2</v>
      </c>
      <c r="R83" s="191">
        <f t="shared" si="112"/>
        <v>0.11811755952380952</v>
      </c>
      <c r="S83" s="386">
        <f t="shared" si="113"/>
        <v>20</v>
      </c>
      <c r="T83" s="191">
        <f t="shared" si="114"/>
        <v>0.61908661417322852</v>
      </c>
      <c r="U83" s="191">
        <f t="shared" si="115"/>
        <v>4.6431496062992128</v>
      </c>
      <c r="V83" s="191">
        <f t="shared" si="116"/>
        <v>4.5700291400582804</v>
      </c>
      <c r="W83" s="175">
        <f t="shared" si="117"/>
        <v>350</v>
      </c>
      <c r="X83" s="386">
        <f t="shared" si="158"/>
        <v>108.54017137085921</v>
      </c>
      <c r="Z83" s="191">
        <f t="shared" si="118"/>
        <v>0.19198790627362058</v>
      </c>
      <c r="AA83" s="153">
        <f t="shared" si="119"/>
        <v>1.4172335600907029</v>
      </c>
      <c r="AB83" s="153">
        <f t="shared" si="120"/>
        <v>4.7616048182941621E-2</v>
      </c>
      <c r="AC83" s="153"/>
      <c r="AD83" s="153">
        <f t="shared" si="121"/>
        <v>1.1072834645669289</v>
      </c>
      <c r="AE83" s="317">
        <f t="shared" si="122"/>
        <v>939.23555555555572</v>
      </c>
      <c r="AF83" s="463">
        <f t="shared" si="123"/>
        <v>2.9066190944881887E-2</v>
      </c>
      <c r="AH83" s="153">
        <f t="shared" si="124"/>
        <v>0.32706486905723858</v>
      </c>
      <c r="AI83" s="153">
        <f t="shared" si="125"/>
        <v>0.61908661417322852</v>
      </c>
      <c r="AJ83" s="153">
        <f t="shared" si="126"/>
        <v>1.5474715660542433</v>
      </c>
      <c r="AL83" s="317">
        <f t="shared" si="127"/>
        <v>78.000000000000014</v>
      </c>
      <c r="AM83" s="147">
        <f t="shared" si="128"/>
        <v>108.54017137085921</v>
      </c>
      <c r="AO83">
        <f t="shared" si="159"/>
        <v>78.000000000000014</v>
      </c>
      <c r="AP83">
        <f t="shared" si="129"/>
        <v>108.54017137085921</v>
      </c>
      <c r="AR83" s="5">
        <f t="shared" si="160"/>
        <v>9.2131787463574923</v>
      </c>
      <c r="AS83" s="5">
        <f t="shared" si="130"/>
        <v>4.6431496062992128</v>
      </c>
      <c r="AT83" s="5">
        <f t="shared" si="161"/>
        <v>4.5700291400582795</v>
      </c>
      <c r="AU83" s="153">
        <f t="shared" si="162"/>
        <v>0.50396825396825407</v>
      </c>
      <c r="AW83" s="5">
        <f t="shared" si="131"/>
        <v>1.7236920000000002</v>
      </c>
      <c r="AX83" s="5">
        <f t="shared" si="132"/>
        <v>10.720942128000001</v>
      </c>
      <c r="AY83" s="5">
        <f t="shared" si="133"/>
        <v>1.7372910952321905</v>
      </c>
      <c r="AZ83" s="5">
        <f t="shared" si="134"/>
        <v>7.8430392897401067</v>
      </c>
      <c r="BA83" s="5">
        <f t="shared" si="135"/>
        <v>0.71292454584909171</v>
      </c>
      <c r="BB83" s="147">
        <f t="shared" si="136"/>
        <v>71.760454584909169</v>
      </c>
      <c r="BC83" s="5"/>
      <c r="BD83" s="153">
        <f t="shared" si="163"/>
        <v>0.25374201046341499</v>
      </c>
      <c r="BE83" s="153">
        <f t="shared" si="137"/>
        <v>0.25173611330546419</v>
      </c>
      <c r="BF83" s="153">
        <f t="shared" si="138"/>
        <v>0.25074891286112905</v>
      </c>
      <c r="BG83" s="153"/>
      <c r="BH83" s="463">
        <f t="shared" si="139"/>
        <v>2.2534752755905527E-2</v>
      </c>
      <c r="BI83" s="463">
        <f t="shared" si="140"/>
        <v>1.3546666666666672E-2</v>
      </c>
      <c r="BJ83" s="463">
        <f t="shared" si="141"/>
        <v>1.3567521421357402E-3</v>
      </c>
      <c r="BK83" s="463">
        <f t="shared" si="142"/>
        <v>8.8227008547008563E-3</v>
      </c>
      <c r="BL83">
        <f t="shared" si="143"/>
        <v>5.7999999999999996E-3</v>
      </c>
      <c r="BM83">
        <f t="shared" si="144"/>
        <v>4.0702564264072203E-6</v>
      </c>
      <c r="BN83">
        <f t="shared" si="145"/>
        <v>5.5337207697061887E-2</v>
      </c>
      <c r="BO83" s="147">
        <f t="shared" si="164"/>
        <v>55.337207697061885</v>
      </c>
      <c r="BP83" s="153">
        <f t="shared" si="146"/>
        <v>7.8211498046996106E-2</v>
      </c>
      <c r="BQ83" s="153">
        <f t="shared" si="147"/>
        <v>7.7832513217993116E-2</v>
      </c>
      <c r="BR83" s="463"/>
      <c r="BT83" s="147">
        <f t="shared" si="165"/>
        <v>156.04401126498922</v>
      </c>
      <c r="BU83" s="463">
        <f t="shared" si="148"/>
        <v>5.1508006299212643E-2</v>
      </c>
      <c r="BV83" s="463">
        <f t="shared" si="149"/>
        <v>5.0443372310744639E-2</v>
      </c>
      <c r="BW83" s="463">
        <f t="shared" si="150"/>
        <v>3.1437508650519045E-3</v>
      </c>
      <c r="BX83" s="463">
        <f t="shared" si="151"/>
        <v>0</v>
      </c>
      <c r="BY83" s="463">
        <f t="shared" si="152"/>
        <v>0.11870456675701861</v>
      </c>
      <c r="BZ83" s="463">
        <f t="shared" si="166"/>
        <v>0.10509512947500919</v>
      </c>
      <c r="CA83" s="549">
        <f t="shared" si="153"/>
        <v>6.2400000000000039E-2</v>
      </c>
      <c r="CB83" s="147">
        <f t="shared" si="167"/>
        <v>181.10456675701863</v>
      </c>
      <c r="CC83" s="153">
        <f t="shared" si="168"/>
        <v>0.39248578571906978</v>
      </c>
      <c r="CD83" s="5">
        <f t="shared" si="169"/>
        <v>2.8080000000000007</v>
      </c>
      <c r="CE83" s="153">
        <f t="shared" si="170"/>
        <v>0.87736680866686367</v>
      </c>
      <c r="CF83" s="5">
        <f t="shared" si="171"/>
        <v>87.73668086668637</v>
      </c>
      <c r="CG83">
        <f t="shared" si="172"/>
        <v>78.000000000000014</v>
      </c>
      <c r="CI83" s="59">
        <f t="shared" si="154"/>
        <v>-50</v>
      </c>
      <c r="CJ83">
        <f t="shared" si="155"/>
        <v>-50</v>
      </c>
    </row>
    <row r="84" spans="5:88" x14ac:dyDescent="0.25">
      <c r="E84" s="150">
        <v>79</v>
      </c>
      <c r="F84" s="191">
        <f t="shared" si="173"/>
        <v>7.9000000000000015E-2</v>
      </c>
      <c r="G84" s="191">
        <f t="shared" si="156"/>
        <v>7.9000000000000015E-2</v>
      </c>
      <c r="H84" s="191">
        <f t="shared" si="105"/>
        <v>1.5800000000000003</v>
      </c>
      <c r="I84" s="191">
        <f t="shared" si="174"/>
        <v>1.2640000000000002</v>
      </c>
      <c r="J84" s="472">
        <f t="shared" si="106"/>
        <v>20</v>
      </c>
      <c r="K84" s="386">
        <f t="shared" si="107"/>
        <v>20.32</v>
      </c>
      <c r="L84" s="386">
        <f t="shared" si="108"/>
        <v>40.32</v>
      </c>
      <c r="M84" s="386"/>
      <c r="N84" s="191">
        <f t="shared" si="109"/>
        <v>0.50396825396825395</v>
      </c>
      <c r="O84" s="152">
        <f t="shared" si="157"/>
        <v>1.8898809523809523</v>
      </c>
      <c r="P84" s="152">
        <f t="shared" si="110"/>
        <v>2.7214285714285715</v>
      </c>
      <c r="Q84" s="191">
        <f t="shared" si="111"/>
        <v>9.4494047619047616E-2</v>
      </c>
      <c r="R84" s="191">
        <f t="shared" si="112"/>
        <v>0.11811755952380952</v>
      </c>
      <c r="S84" s="386">
        <f t="shared" si="113"/>
        <v>20</v>
      </c>
      <c r="T84" s="191">
        <f t="shared" si="114"/>
        <v>0.62702362204724416</v>
      </c>
      <c r="U84" s="191">
        <f t="shared" si="115"/>
        <v>4.7026771653543307</v>
      </c>
      <c r="V84" s="191">
        <f t="shared" si="116"/>
        <v>4.6286192572385154</v>
      </c>
      <c r="W84" s="175">
        <f t="shared" si="117"/>
        <v>350</v>
      </c>
      <c r="X84" s="386">
        <f t="shared" si="158"/>
        <v>107.16624515097489</v>
      </c>
      <c r="Z84" s="191">
        <f t="shared" si="118"/>
        <v>0.19198790627362058</v>
      </c>
      <c r="AA84" s="153">
        <f t="shared" si="119"/>
        <v>1.4172335600907029</v>
      </c>
      <c r="AB84" s="153">
        <f t="shared" si="120"/>
        <v>4.7616048182941621E-2</v>
      </c>
      <c r="AC84" s="153"/>
      <c r="AD84" s="153">
        <f t="shared" si="121"/>
        <v>1.1072834645669289</v>
      </c>
      <c r="AE84" s="317">
        <f t="shared" si="122"/>
        <v>951.2770370370373</v>
      </c>
      <c r="AF84" s="463">
        <f t="shared" si="123"/>
        <v>2.9066190944881887E-2</v>
      </c>
      <c r="AH84" s="153">
        <f t="shared" si="124"/>
        <v>0.32915476168947816</v>
      </c>
      <c r="AI84" s="153">
        <f t="shared" si="125"/>
        <v>0.62702362204724416</v>
      </c>
      <c r="AJ84" s="153">
        <f t="shared" si="126"/>
        <v>1.5533508311461066</v>
      </c>
      <c r="AL84" s="317">
        <f t="shared" si="127"/>
        <v>79.000000000000014</v>
      </c>
      <c r="AM84" s="147">
        <f t="shared" si="128"/>
        <v>107.16624515097489</v>
      </c>
      <c r="AO84">
        <f t="shared" si="159"/>
        <v>79.000000000000014</v>
      </c>
      <c r="AP84">
        <f t="shared" si="129"/>
        <v>107.16624515097489</v>
      </c>
      <c r="AR84" s="5">
        <f t="shared" si="160"/>
        <v>9.3312964225928479</v>
      </c>
      <c r="AS84" s="5">
        <f t="shared" si="130"/>
        <v>4.7026771653543307</v>
      </c>
      <c r="AT84" s="5">
        <f t="shared" si="161"/>
        <v>4.6286192572385172</v>
      </c>
      <c r="AU84" s="153">
        <f t="shared" si="162"/>
        <v>0.50396825396825384</v>
      </c>
      <c r="AW84" s="5">
        <f t="shared" si="131"/>
        <v>1.7236920000000002</v>
      </c>
      <c r="AX84" s="5">
        <f t="shared" si="132"/>
        <v>10.994561772000004</v>
      </c>
      <c r="AY84" s="5">
        <f t="shared" si="133"/>
        <v>1.7372910952321905</v>
      </c>
      <c r="AZ84" s="5">
        <f t="shared" si="134"/>
        <v>8.0434063457048026</v>
      </c>
      <c r="BA84" s="5">
        <f t="shared" si="135"/>
        <v>0.73132184264368572</v>
      </c>
      <c r="BB84" s="147">
        <f t="shared" si="136"/>
        <v>73.606184264368594</v>
      </c>
      <c r="BC84" s="5"/>
      <c r="BD84" s="153">
        <f t="shared" si="163"/>
        <v>0.25699511316166379</v>
      </c>
      <c r="BE84" s="153">
        <f t="shared" si="137"/>
        <v>0.25496349937348295</v>
      </c>
      <c r="BF84" s="153">
        <f t="shared" si="138"/>
        <v>0.25396364251319481</v>
      </c>
      <c r="BG84" s="153"/>
      <c r="BH84" s="463">
        <f t="shared" si="139"/>
        <v>2.3116270866141729E-2</v>
      </c>
      <c r="BI84" s="463">
        <f t="shared" si="140"/>
        <v>1.3546666666666665E-2</v>
      </c>
      <c r="BJ84" s="463">
        <f t="shared" si="141"/>
        <v>1.339578064387186E-3</v>
      </c>
      <c r="BK84" s="463">
        <f t="shared" si="142"/>
        <v>8.7110210970464137E-3</v>
      </c>
      <c r="BL84">
        <f t="shared" si="143"/>
        <v>5.7999999999999996E-3</v>
      </c>
      <c r="BM84">
        <f t="shared" si="144"/>
        <v>4.018734193161558E-6</v>
      </c>
      <c r="BN84">
        <f t="shared" si="145"/>
        <v>5.5876562852447048E-2</v>
      </c>
      <c r="BO84" s="147">
        <f t="shared" si="164"/>
        <v>55.876562852447051</v>
      </c>
      <c r="BP84" s="153">
        <f t="shared" si="146"/>
        <v>7.9842878913757853E-2</v>
      </c>
      <c r="BQ84" s="153">
        <f t="shared" si="147"/>
        <v>7.9454114232987358E-2</v>
      </c>
      <c r="BR84" s="463"/>
      <c r="BT84" s="147">
        <f t="shared" si="165"/>
        <v>159.29699314674522</v>
      </c>
      <c r="BU84" s="463">
        <f t="shared" si="148"/>
        <v>5.2837190551181107E-2</v>
      </c>
      <c r="BV84" s="463">
        <f t="shared" si="149"/>
        <v>5.1745083266166551E-2</v>
      </c>
      <c r="BW84" s="463">
        <f t="shared" si="150"/>
        <v>3.2248765859284908E-3</v>
      </c>
      <c r="BX84" s="463">
        <f t="shared" si="151"/>
        <v>0</v>
      </c>
      <c r="BY84" s="463">
        <f t="shared" si="152"/>
        <v>0.12179443331492239</v>
      </c>
      <c r="BZ84" s="463">
        <f t="shared" si="166"/>
        <v>0.10780715040327615</v>
      </c>
      <c r="CA84" s="549">
        <f t="shared" si="153"/>
        <v>6.3200000000000006E-2</v>
      </c>
      <c r="CB84" s="147">
        <f t="shared" si="167"/>
        <v>184.99443331492239</v>
      </c>
      <c r="CC84" s="153">
        <f t="shared" si="168"/>
        <v>0.40016798931411468</v>
      </c>
      <c r="CD84" s="5">
        <f t="shared" si="169"/>
        <v>2.8440000000000003</v>
      </c>
      <c r="CE84" s="153">
        <f t="shared" si="170"/>
        <v>0.87665004074011632</v>
      </c>
      <c r="CF84" s="5">
        <f t="shared" si="171"/>
        <v>87.665004074011634</v>
      </c>
      <c r="CG84">
        <f t="shared" si="172"/>
        <v>79.000000000000014</v>
      </c>
      <c r="CI84" s="59">
        <f t="shared" si="154"/>
        <v>-50</v>
      </c>
      <c r="CJ84">
        <f t="shared" si="155"/>
        <v>-50</v>
      </c>
    </row>
    <row r="85" spans="5:88" x14ac:dyDescent="0.25">
      <c r="E85" s="150">
        <v>80</v>
      </c>
      <c r="F85" s="191">
        <f t="shared" si="173"/>
        <v>8.0000000000000016E-2</v>
      </c>
      <c r="G85" s="191">
        <f t="shared" si="156"/>
        <v>8.0000000000000016E-2</v>
      </c>
      <c r="H85" s="191">
        <f t="shared" si="105"/>
        <v>1.6000000000000003</v>
      </c>
      <c r="I85" s="191">
        <f t="shared" si="174"/>
        <v>1.2800000000000002</v>
      </c>
      <c r="J85" s="472">
        <f t="shared" si="106"/>
        <v>20</v>
      </c>
      <c r="K85" s="386">
        <f t="shared" si="107"/>
        <v>20.32</v>
      </c>
      <c r="L85" s="386">
        <f t="shared" si="108"/>
        <v>40.32</v>
      </c>
      <c r="M85" s="386"/>
      <c r="N85" s="191">
        <f t="shared" si="109"/>
        <v>0.50396825396825395</v>
      </c>
      <c r="O85" s="152">
        <f t="shared" si="157"/>
        <v>1.8898809523809523</v>
      </c>
      <c r="P85" s="152">
        <f t="shared" si="110"/>
        <v>2.7214285714285715</v>
      </c>
      <c r="Q85" s="191">
        <f t="shared" si="111"/>
        <v>9.4494047619047616E-2</v>
      </c>
      <c r="R85" s="191">
        <f t="shared" si="112"/>
        <v>0.11811755952380952</v>
      </c>
      <c r="S85" s="386">
        <f t="shared" si="113"/>
        <v>20</v>
      </c>
      <c r="T85" s="191">
        <f t="shared" si="114"/>
        <v>0.63496062992126001</v>
      </c>
      <c r="U85" s="191">
        <f t="shared" si="115"/>
        <v>4.7622047244094503</v>
      </c>
      <c r="V85" s="191">
        <f t="shared" si="116"/>
        <v>4.6872093744187504</v>
      </c>
      <c r="W85" s="175">
        <f t="shared" si="117"/>
        <v>350</v>
      </c>
      <c r="X85" s="386">
        <f t="shared" si="158"/>
        <v>105.82666708658769</v>
      </c>
      <c r="Z85" s="191">
        <f t="shared" si="118"/>
        <v>0.19198790627362058</v>
      </c>
      <c r="AA85" s="153">
        <f t="shared" si="119"/>
        <v>1.4172335600907029</v>
      </c>
      <c r="AB85" s="153">
        <f t="shared" si="120"/>
        <v>4.7616048182941621E-2</v>
      </c>
      <c r="AC85" s="153"/>
      <c r="AD85" s="153">
        <f t="shared" si="121"/>
        <v>1.1072834645669289</v>
      </c>
      <c r="AE85" s="317">
        <f t="shared" si="122"/>
        <v>963.31851851851877</v>
      </c>
      <c r="AF85" s="463">
        <f t="shared" si="123"/>
        <v>2.9066190944881887E-2</v>
      </c>
      <c r="AH85" s="153">
        <f t="shared" si="124"/>
        <v>0.3312314684843301</v>
      </c>
      <c r="AI85" s="153">
        <f t="shared" si="125"/>
        <v>0.63496062992126001</v>
      </c>
      <c r="AJ85" s="153">
        <f t="shared" si="126"/>
        <v>1.5592300962379704</v>
      </c>
      <c r="AL85" s="317">
        <f t="shared" si="127"/>
        <v>80.000000000000014</v>
      </c>
      <c r="AM85" s="147">
        <f t="shared" si="128"/>
        <v>105.82666708658769</v>
      </c>
      <c r="AO85">
        <f t="shared" si="159"/>
        <v>80.000000000000014</v>
      </c>
      <c r="AP85">
        <f t="shared" si="129"/>
        <v>105.82666708658769</v>
      </c>
      <c r="AR85" s="5">
        <f t="shared" si="160"/>
        <v>9.4494140988281998</v>
      </c>
      <c r="AS85" s="5">
        <f t="shared" si="130"/>
        <v>4.7622047244094503</v>
      </c>
      <c r="AT85" s="5">
        <f t="shared" si="161"/>
        <v>4.6872093744187495</v>
      </c>
      <c r="AU85" s="153">
        <f t="shared" si="162"/>
        <v>0.50396825396825407</v>
      </c>
      <c r="AW85" s="5">
        <f t="shared" si="131"/>
        <v>1.7236920000000002</v>
      </c>
      <c r="AX85" s="5">
        <f t="shared" si="132"/>
        <v>11.271628800000004</v>
      </c>
      <c r="AY85" s="5">
        <f t="shared" si="133"/>
        <v>1.7372910952321905</v>
      </c>
      <c r="AZ85" s="5">
        <f t="shared" si="134"/>
        <v>8.2463003705352875</v>
      </c>
      <c r="BA85" s="5">
        <f t="shared" si="135"/>
        <v>0.74995349990700011</v>
      </c>
      <c r="BB85" s="147">
        <f t="shared" si="136"/>
        <v>75.475349990700025</v>
      </c>
      <c r="BC85" s="5"/>
      <c r="BD85" s="153">
        <f t="shared" si="163"/>
        <v>0.26024821585991276</v>
      </c>
      <c r="BE85" s="153">
        <f t="shared" si="137"/>
        <v>0.25819088544150176</v>
      </c>
      <c r="BF85" s="153">
        <f t="shared" si="138"/>
        <v>0.25717837216526057</v>
      </c>
      <c r="BG85" s="153"/>
      <c r="BH85" s="463">
        <f t="shared" si="139"/>
        <v>2.3705196850393708E-2</v>
      </c>
      <c r="BI85" s="463">
        <f t="shared" si="140"/>
        <v>1.3546666666666665E-2</v>
      </c>
      <c r="BJ85" s="463">
        <f t="shared" si="141"/>
        <v>1.322833338582346E-3</v>
      </c>
      <c r="BK85" s="463">
        <f t="shared" si="142"/>
        <v>8.6021333333333311E-3</v>
      </c>
      <c r="BL85">
        <f t="shared" si="143"/>
        <v>5.7999999999999996E-3</v>
      </c>
      <c r="BM85">
        <f t="shared" si="144"/>
        <v>3.9685000157470381E-6</v>
      </c>
      <c r="BN85">
        <f t="shared" si="145"/>
        <v>5.6427793358458433E-2</v>
      </c>
      <c r="BO85" s="147">
        <f t="shared" si="164"/>
        <v>56.42779335845843</v>
      </c>
      <c r="BP85" s="153">
        <f t="shared" si="146"/>
        <v>8.1490175460350978E-2</v>
      </c>
      <c r="BQ85" s="153">
        <f t="shared" si="147"/>
        <v>8.1091506343713995E-2</v>
      </c>
      <c r="BR85" s="463"/>
      <c r="BT85" s="147">
        <f t="shared" si="165"/>
        <v>162.58168180406497</v>
      </c>
      <c r="BU85" s="463">
        <f t="shared" si="148"/>
        <v>5.4183307086614202E-2</v>
      </c>
      <c r="BV85" s="463">
        <f t="shared" si="149"/>
        <v>5.3063376526753088E-2</v>
      </c>
      <c r="BW85" s="463">
        <f t="shared" si="150"/>
        <v>3.3070357554786638E-3</v>
      </c>
      <c r="BX85" s="463">
        <f t="shared" si="151"/>
        <v>0</v>
      </c>
      <c r="BY85" s="463">
        <f t="shared" si="152"/>
        <v>0.12492503991752216</v>
      </c>
      <c r="BZ85" s="463">
        <f t="shared" si="166"/>
        <v>0.11055371936884595</v>
      </c>
      <c r="CA85" s="549">
        <f t="shared" si="153"/>
        <v>6.4000000000000029E-2</v>
      </c>
      <c r="CB85" s="147">
        <f t="shared" si="167"/>
        <v>188.92503991752218</v>
      </c>
      <c r="CC85" s="153">
        <f t="shared" si="168"/>
        <v>0.40793451508004563</v>
      </c>
      <c r="CD85" s="5">
        <f t="shared" si="169"/>
        <v>2.8800000000000008</v>
      </c>
      <c r="CE85" s="153">
        <f t="shared" si="170"/>
        <v>0.87592985407432478</v>
      </c>
      <c r="CF85" s="5">
        <f t="shared" si="171"/>
        <v>87.592985407432479</v>
      </c>
      <c r="CG85">
        <f t="shared" si="172"/>
        <v>80.000000000000014</v>
      </c>
      <c r="CI85" s="59">
        <f t="shared" si="154"/>
        <v>-50</v>
      </c>
      <c r="CJ85">
        <f t="shared" si="155"/>
        <v>-50</v>
      </c>
    </row>
    <row r="86" spans="5:88" x14ac:dyDescent="0.25">
      <c r="E86" s="150">
        <v>81</v>
      </c>
      <c r="F86" s="191">
        <f t="shared" si="173"/>
        <v>8.1000000000000016E-2</v>
      </c>
      <c r="G86" s="191">
        <f t="shared" si="156"/>
        <v>8.1000000000000016E-2</v>
      </c>
      <c r="H86" s="191">
        <f t="shared" si="105"/>
        <v>1.6200000000000003</v>
      </c>
      <c r="I86" s="191">
        <f t="shared" si="174"/>
        <v>1.2960000000000003</v>
      </c>
      <c r="J86" s="472">
        <f t="shared" si="106"/>
        <v>20</v>
      </c>
      <c r="K86" s="386">
        <f t="shared" si="107"/>
        <v>20.32</v>
      </c>
      <c r="L86" s="386">
        <f t="shared" si="108"/>
        <v>40.32</v>
      </c>
      <c r="M86" s="386"/>
      <c r="N86" s="191">
        <f t="shared" si="109"/>
        <v>0.50396825396825395</v>
      </c>
      <c r="O86" s="152">
        <f t="shared" si="157"/>
        <v>1.8898809523809523</v>
      </c>
      <c r="P86" s="152">
        <f t="shared" si="110"/>
        <v>2.7214285714285715</v>
      </c>
      <c r="Q86" s="191">
        <f t="shared" si="111"/>
        <v>9.4494047619047616E-2</v>
      </c>
      <c r="R86" s="191">
        <f t="shared" si="112"/>
        <v>0.11811755952380952</v>
      </c>
      <c r="S86" s="386">
        <f t="shared" si="113"/>
        <v>20</v>
      </c>
      <c r="T86" s="191">
        <f t="shared" si="114"/>
        <v>0.64289763779527564</v>
      </c>
      <c r="U86" s="191">
        <f t="shared" si="115"/>
        <v>4.8217322834645673</v>
      </c>
      <c r="V86" s="191">
        <f t="shared" si="116"/>
        <v>4.7457994915989827</v>
      </c>
      <c r="W86" s="175">
        <f t="shared" si="117"/>
        <v>350</v>
      </c>
      <c r="X86" s="386">
        <f t="shared" si="158"/>
        <v>104.52016502379034</v>
      </c>
      <c r="Z86" s="191">
        <f t="shared" si="118"/>
        <v>0.19198790627362058</v>
      </c>
      <c r="AA86" s="153">
        <f t="shared" si="119"/>
        <v>1.4172335600907029</v>
      </c>
      <c r="AB86" s="153">
        <f t="shared" si="120"/>
        <v>4.7616048182941621E-2</v>
      </c>
      <c r="AC86" s="153"/>
      <c r="AD86" s="153">
        <f t="shared" si="121"/>
        <v>1.1072834645669289</v>
      </c>
      <c r="AE86" s="317">
        <f t="shared" si="122"/>
        <v>975.36000000000024</v>
      </c>
      <c r="AF86" s="463">
        <f t="shared" si="123"/>
        <v>2.9066190944881887E-2</v>
      </c>
      <c r="AH86" s="153">
        <f t="shared" si="124"/>
        <v>0.33329523591811855</v>
      </c>
      <c r="AI86" s="153">
        <f t="shared" si="125"/>
        <v>0.64289763779527564</v>
      </c>
      <c r="AJ86" s="153">
        <f t="shared" si="126"/>
        <v>1.5651093613298337</v>
      </c>
      <c r="AL86" s="317">
        <f t="shared" si="127"/>
        <v>81.000000000000014</v>
      </c>
      <c r="AM86" s="147">
        <f t="shared" si="128"/>
        <v>104.52016502379034</v>
      </c>
      <c r="AO86">
        <f t="shared" si="159"/>
        <v>81.000000000000014</v>
      </c>
      <c r="AP86">
        <f t="shared" si="129"/>
        <v>104.52016502379034</v>
      </c>
      <c r="AR86" s="5">
        <f t="shared" si="160"/>
        <v>9.56753177506355</v>
      </c>
      <c r="AS86" s="5">
        <f t="shared" si="130"/>
        <v>4.8217322834645673</v>
      </c>
      <c r="AT86" s="5">
        <f t="shared" si="161"/>
        <v>4.7457994915989827</v>
      </c>
      <c r="AU86" s="153">
        <f t="shared" si="162"/>
        <v>0.50396825396825407</v>
      </c>
      <c r="AW86" s="5">
        <f t="shared" si="131"/>
        <v>1.7236920000000002</v>
      </c>
      <c r="AX86" s="5">
        <f t="shared" si="132"/>
        <v>11.552143212000004</v>
      </c>
      <c r="AY86" s="5">
        <f t="shared" si="133"/>
        <v>1.7372910952321905</v>
      </c>
      <c r="AZ86" s="5">
        <f t="shared" si="134"/>
        <v>8.4517213642315685</v>
      </c>
      <c r="BA86" s="5">
        <f t="shared" si="135"/>
        <v>0.76881951763903522</v>
      </c>
      <c r="BB86" s="147">
        <f t="shared" si="136"/>
        <v>77.367951763903534</v>
      </c>
      <c r="BC86" s="5"/>
      <c r="BD86" s="153">
        <f t="shared" si="163"/>
        <v>0.26350131855816167</v>
      </c>
      <c r="BE86" s="153">
        <f t="shared" si="137"/>
        <v>0.26141827150952046</v>
      </c>
      <c r="BF86" s="153">
        <f t="shared" si="138"/>
        <v>0.26039310181732628</v>
      </c>
      <c r="BG86" s="153"/>
      <c r="BH86" s="463">
        <f t="shared" si="139"/>
        <v>2.4301530708661426E-2</v>
      </c>
      <c r="BI86" s="463">
        <f t="shared" si="140"/>
        <v>1.3546666666666667E-2</v>
      </c>
      <c r="BJ86" s="463">
        <f t="shared" si="141"/>
        <v>1.3065020627973792E-3</v>
      </c>
      <c r="BK86" s="463">
        <f t="shared" si="142"/>
        <v>8.4959341563786012E-3</v>
      </c>
      <c r="BL86">
        <f t="shared" si="143"/>
        <v>5.7999999999999996E-3</v>
      </c>
      <c r="BM86">
        <f t="shared" si="144"/>
        <v>3.9195061883921376E-6</v>
      </c>
      <c r="BN86">
        <f t="shared" si="145"/>
        <v>5.6990785479536753E-2</v>
      </c>
      <c r="BO86" s="147">
        <f t="shared" si="164"/>
        <v>56.990785479536754</v>
      </c>
      <c r="BP86" s="153">
        <f t="shared" si="146"/>
        <v>8.3153387686775368E-2</v>
      </c>
      <c r="BQ86" s="153">
        <f t="shared" si="147"/>
        <v>8.2744689550173028E-2</v>
      </c>
      <c r="BR86" s="463"/>
      <c r="BT86" s="147">
        <f t="shared" si="165"/>
        <v>165.89807723694838</v>
      </c>
      <c r="BU86" s="463">
        <f t="shared" si="148"/>
        <v>5.5546355905511838E-2</v>
      </c>
      <c r="BV86" s="463">
        <f t="shared" si="149"/>
        <v>5.4398252092504186E-2</v>
      </c>
      <c r="BW86" s="463">
        <f t="shared" si="150"/>
        <v>3.3902283737024226E-3</v>
      </c>
      <c r="BX86" s="463">
        <f t="shared" si="151"/>
        <v>0</v>
      </c>
      <c r="BY86" s="463">
        <f t="shared" si="152"/>
        <v>0.12809643986043526</v>
      </c>
      <c r="BZ86" s="463">
        <f t="shared" si="166"/>
        <v>0.11333483637171846</v>
      </c>
      <c r="CA86" s="549">
        <f t="shared" si="153"/>
        <v>6.480000000000001E-2</v>
      </c>
      <c r="CB86" s="147">
        <f t="shared" si="167"/>
        <v>192.89643986043527</v>
      </c>
      <c r="CC86" s="153">
        <f t="shared" si="168"/>
        <v>0.41578530257692042</v>
      </c>
      <c r="CD86" s="5">
        <f t="shared" si="169"/>
        <v>2.9160000000000004</v>
      </c>
      <c r="CE86" s="153">
        <f t="shared" si="170"/>
        <v>0.87520645395267893</v>
      </c>
      <c r="CF86" s="5">
        <f t="shared" si="171"/>
        <v>87.520645395267891</v>
      </c>
      <c r="CG86">
        <f t="shared" si="172"/>
        <v>81.000000000000014</v>
      </c>
      <c r="CI86" s="59">
        <f t="shared" si="154"/>
        <v>-50</v>
      </c>
      <c r="CJ86">
        <f t="shared" si="155"/>
        <v>-50</v>
      </c>
    </row>
    <row r="87" spans="5:88" x14ac:dyDescent="0.25">
      <c r="E87" s="150">
        <v>82</v>
      </c>
      <c r="F87" s="191">
        <f t="shared" si="173"/>
        <v>8.2000000000000003E-2</v>
      </c>
      <c r="G87" s="191">
        <f t="shared" si="156"/>
        <v>8.2000000000000003E-2</v>
      </c>
      <c r="H87" s="191">
        <f t="shared" si="105"/>
        <v>1.6400000000000001</v>
      </c>
      <c r="I87" s="191">
        <f t="shared" si="174"/>
        <v>1.3120000000000001</v>
      </c>
      <c r="J87" s="472">
        <f t="shared" si="106"/>
        <v>20</v>
      </c>
      <c r="K87" s="386">
        <f t="shared" si="107"/>
        <v>20.32</v>
      </c>
      <c r="L87" s="386">
        <f t="shared" si="108"/>
        <v>40.32</v>
      </c>
      <c r="M87" s="386"/>
      <c r="N87" s="191">
        <f t="shared" si="109"/>
        <v>0.50396825396825395</v>
      </c>
      <c r="O87" s="152">
        <f t="shared" si="157"/>
        <v>1.8898809523809523</v>
      </c>
      <c r="P87" s="152">
        <f t="shared" si="110"/>
        <v>2.7214285714285715</v>
      </c>
      <c r="Q87" s="191">
        <f t="shared" si="111"/>
        <v>9.4494047619047616E-2</v>
      </c>
      <c r="R87" s="191">
        <f t="shared" si="112"/>
        <v>0.11811755952380952</v>
      </c>
      <c r="S87" s="386">
        <f t="shared" si="113"/>
        <v>20</v>
      </c>
      <c r="T87" s="191">
        <f t="shared" si="114"/>
        <v>0.65083464566929139</v>
      </c>
      <c r="U87" s="191">
        <f t="shared" si="115"/>
        <v>4.8812598425196843</v>
      </c>
      <c r="V87" s="191">
        <f t="shared" si="116"/>
        <v>4.8043896087792177</v>
      </c>
      <c r="W87" s="175">
        <f t="shared" si="117"/>
        <v>350</v>
      </c>
      <c r="X87" s="386">
        <f t="shared" si="158"/>
        <v>103.24552886496363</v>
      </c>
      <c r="Z87" s="191">
        <f t="shared" si="118"/>
        <v>0.19198790627362058</v>
      </c>
      <c r="AA87" s="153">
        <f t="shared" si="119"/>
        <v>1.4172335600907029</v>
      </c>
      <c r="AB87" s="153">
        <f t="shared" si="120"/>
        <v>4.7616048182941621E-2</v>
      </c>
      <c r="AC87" s="153"/>
      <c r="AD87" s="153">
        <f t="shared" si="121"/>
        <v>1.1072834645669289</v>
      </c>
      <c r="AE87" s="317">
        <f t="shared" si="122"/>
        <v>987.4014814814816</v>
      </c>
      <c r="AF87" s="463">
        <f t="shared" si="123"/>
        <v>2.9066190944881887E-2</v>
      </c>
      <c r="AH87" s="153">
        <f t="shared" si="124"/>
        <v>0.33534630288277051</v>
      </c>
      <c r="AI87" s="153">
        <f t="shared" si="125"/>
        <v>0.65083464566929139</v>
      </c>
      <c r="AJ87" s="153">
        <f t="shared" si="126"/>
        <v>1.5709886264216972</v>
      </c>
      <c r="AL87" s="317">
        <f t="shared" si="127"/>
        <v>82</v>
      </c>
      <c r="AM87" s="147">
        <f t="shared" si="128"/>
        <v>103.24552886496363</v>
      </c>
      <c r="AO87">
        <f t="shared" si="159"/>
        <v>82</v>
      </c>
      <c r="AP87">
        <f t="shared" si="129"/>
        <v>103.24552886496363</v>
      </c>
      <c r="AR87" s="5">
        <f t="shared" si="160"/>
        <v>9.685649451298902</v>
      </c>
      <c r="AS87" s="5">
        <f t="shared" si="130"/>
        <v>4.8812598425196843</v>
      </c>
      <c r="AT87" s="5">
        <f t="shared" si="161"/>
        <v>4.8043896087792177</v>
      </c>
      <c r="AU87" s="153">
        <f t="shared" si="162"/>
        <v>0.50396825396825395</v>
      </c>
      <c r="AW87" s="5">
        <f t="shared" si="131"/>
        <v>1.7236920000000002</v>
      </c>
      <c r="AX87" s="5">
        <f t="shared" si="132"/>
        <v>11.836105008000001</v>
      </c>
      <c r="AY87" s="5">
        <f t="shared" si="133"/>
        <v>1.7372910952321905</v>
      </c>
      <c r="AZ87" s="5">
        <f t="shared" si="134"/>
        <v>8.6596693267936331</v>
      </c>
      <c r="BA87" s="5">
        <f t="shared" si="135"/>
        <v>0.78791989583979161</v>
      </c>
      <c r="BB87" s="147">
        <f t="shared" si="136"/>
        <v>79.283989583979178</v>
      </c>
      <c r="BC87" s="5"/>
      <c r="BD87" s="153">
        <f t="shared" si="163"/>
        <v>0.26675442125641058</v>
      </c>
      <c r="BE87" s="153">
        <f t="shared" si="137"/>
        <v>0.26464565757753927</v>
      </c>
      <c r="BF87" s="153">
        <f t="shared" si="138"/>
        <v>0.2636078314693921</v>
      </c>
      <c r="BG87" s="153"/>
      <c r="BH87" s="463">
        <f t="shared" si="139"/>
        <v>2.4905272440944891E-2</v>
      </c>
      <c r="BI87" s="463">
        <f t="shared" si="140"/>
        <v>1.3546666666666667E-2</v>
      </c>
      <c r="BJ87" s="463">
        <f t="shared" si="141"/>
        <v>1.2905691108120454E-3</v>
      </c>
      <c r="BK87" s="463">
        <f t="shared" si="142"/>
        <v>8.3923252032520341E-3</v>
      </c>
      <c r="BL87">
        <f t="shared" si="143"/>
        <v>5.7999999999999996E-3</v>
      </c>
      <c r="BM87">
        <f t="shared" si="144"/>
        <v>3.871707332436136E-6</v>
      </c>
      <c r="BN87">
        <f t="shared" si="145"/>
        <v>5.756543137620674E-2</v>
      </c>
      <c r="BO87" s="147">
        <f t="shared" si="164"/>
        <v>57.565431376206739</v>
      </c>
      <c r="BP87" s="153">
        <f t="shared" si="146"/>
        <v>8.4832515593031219E-2</v>
      </c>
      <c r="BQ87" s="153">
        <f t="shared" si="147"/>
        <v>8.4413663852364512E-2</v>
      </c>
      <c r="BR87" s="463"/>
      <c r="BT87" s="147">
        <f t="shared" si="165"/>
        <v>169.24617944539571</v>
      </c>
      <c r="BU87" s="463">
        <f t="shared" si="148"/>
        <v>5.6926337007874042E-2</v>
      </c>
      <c r="BV87" s="463">
        <f t="shared" si="149"/>
        <v>5.5749709963419949E-2</v>
      </c>
      <c r="BW87" s="463">
        <f t="shared" si="150"/>
        <v>3.4744544405997712E-3</v>
      </c>
      <c r="BX87" s="463">
        <f t="shared" si="151"/>
        <v>0</v>
      </c>
      <c r="BY87" s="463">
        <f t="shared" si="152"/>
        <v>0.13130868716968069</v>
      </c>
      <c r="BZ87" s="463">
        <f t="shared" si="166"/>
        <v>0.11615050141189376</v>
      </c>
      <c r="CA87" s="549">
        <f t="shared" si="153"/>
        <v>6.5600000000000006E-2</v>
      </c>
      <c r="CB87" s="147">
        <f t="shared" si="167"/>
        <v>196.90868716968069</v>
      </c>
      <c r="CC87" s="153">
        <f t="shared" si="168"/>
        <v>0.42372029799128319</v>
      </c>
      <c r="CD87" s="5">
        <f t="shared" si="169"/>
        <v>2.952</v>
      </c>
      <c r="CE87" s="153">
        <f t="shared" si="170"/>
        <v>0.87448003371505123</v>
      </c>
      <c r="CF87" s="5">
        <f t="shared" si="171"/>
        <v>87.448003371505123</v>
      </c>
      <c r="CG87">
        <f t="shared" si="172"/>
        <v>82</v>
      </c>
      <c r="CI87" s="59">
        <f t="shared" si="154"/>
        <v>-50</v>
      </c>
      <c r="CJ87">
        <f t="shared" si="155"/>
        <v>-50</v>
      </c>
    </row>
    <row r="88" spans="5:88" x14ac:dyDescent="0.25">
      <c r="E88" s="150">
        <v>83</v>
      </c>
      <c r="F88" s="191">
        <f t="shared" si="173"/>
        <v>8.3000000000000004E-2</v>
      </c>
      <c r="G88" s="191">
        <f t="shared" si="156"/>
        <v>8.3000000000000004E-2</v>
      </c>
      <c r="H88" s="191">
        <f t="shared" si="105"/>
        <v>1.6600000000000001</v>
      </c>
      <c r="I88" s="191">
        <f t="shared" si="174"/>
        <v>1.3280000000000001</v>
      </c>
      <c r="J88" s="472">
        <f t="shared" si="106"/>
        <v>20</v>
      </c>
      <c r="K88" s="386">
        <f t="shared" si="107"/>
        <v>20.32</v>
      </c>
      <c r="L88" s="386">
        <f t="shared" si="108"/>
        <v>40.32</v>
      </c>
      <c r="M88" s="386"/>
      <c r="N88" s="191">
        <f t="shared" si="109"/>
        <v>0.50396825396825395</v>
      </c>
      <c r="O88" s="152">
        <f t="shared" si="157"/>
        <v>1.8898809523809523</v>
      </c>
      <c r="P88" s="152">
        <f t="shared" si="110"/>
        <v>2.7214285714285715</v>
      </c>
      <c r="Q88" s="191">
        <f t="shared" si="111"/>
        <v>9.4494047619047616E-2</v>
      </c>
      <c r="R88" s="191">
        <f t="shared" si="112"/>
        <v>0.11811755952380952</v>
      </c>
      <c r="S88" s="386">
        <f t="shared" si="113"/>
        <v>20</v>
      </c>
      <c r="T88" s="191">
        <f t="shared" si="114"/>
        <v>0.65877165354330725</v>
      </c>
      <c r="U88" s="191">
        <f t="shared" si="115"/>
        <v>4.9407874015748039</v>
      </c>
      <c r="V88" s="191">
        <f t="shared" si="116"/>
        <v>4.8629797259594527</v>
      </c>
      <c r="W88" s="175">
        <f t="shared" si="117"/>
        <v>350</v>
      </c>
      <c r="X88" s="386">
        <f t="shared" si="158"/>
        <v>102.00160683044597</v>
      </c>
      <c r="Z88" s="191">
        <f t="shared" si="118"/>
        <v>0.19198790627362058</v>
      </c>
      <c r="AA88" s="153">
        <f t="shared" si="119"/>
        <v>1.4172335600907029</v>
      </c>
      <c r="AB88" s="153">
        <f t="shared" si="120"/>
        <v>4.7616048182941621E-2</v>
      </c>
      <c r="AC88" s="153"/>
      <c r="AD88" s="153">
        <f t="shared" si="121"/>
        <v>1.1072834645669289</v>
      </c>
      <c r="AE88" s="317">
        <f t="shared" si="122"/>
        <v>999.44296296296307</v>
      </c>
      <c r="AF88" s="463">
        <f t="shared" si="123"/>
        <v>2.9066190944881887E-2</v>
      </c>
      <c r="AH88" s="153">
        <f t="shared" si="124"/>
        <v>0.33738490100858315</v>
      </c>
      <c r="AI88" s="153">
        <f t="shared" si="125"/>
        <v>0.65877165354330725</v>
      </c>
      <c r="AJ88" s="153">
        <f t="shared" si="126"/>
        <v>1.5768678915135608</v>
      </c>
      <c r="AL88" s="317">
        <f t="shared" si="127"/>
        <v>83</v>
      </c>
      <c r="AM88" s="147">
        <f t="shared" si="128"/>
        <v>102.00160683044597</v>
      </c>
      <c r="AO88">
        <f t="shared" si="159"/>
        <v>83</v>
      </c>
      <c r="AP88">
        <f t="shared" si="129"/>
        <v>102.00160683044597</v>
      </c>
      <c r="AR88" s="5">
        <f t="shared" si="160"/>
        <v>9.8037671275342593</v>
      </c>
      <c r="AS88" s="5">
        <f t="shared" si="130"/>
        <v>4.9407874015748039</v>
      </c>
      <c r="AT88" s="5">
        <f t="shared" si="161"/>
        <v>4.8629797259594554</v>
      </c>
      <c r="AU88" s="153">
        <f t="shared" si="162"/>
        <v>0.50396825396825384</v>
      </c>
      <c r="AW88" s="5">
        <f t="shared" si="131"/>
        <v>1.7236920000000002</v>
      </c>
      <c r="AX88" s="5">
        <f t="shared" si="132"/>
        <v>12.123514187999998</v>
      </c>
      <c r="AY88" s="5">
        <f t="shared" si="133"/>
        <v>1.7372910952321905</v>
      </c>
      <c r="AZ88" s="5">
        <f t="shared" si="134"/>
        <v>8.8701442582214973</v>
      </c>
      <c r="BA88" s="5">
        <f t="shared" si="135"/>
        <v>0.8072546345092696</v>
      </c>
      <c r="BB88" s="147">
        <f t="shared" si="136"/>
        <v>81.223463450926985</v>
      </c>
      <c r="BC88" s="5"/>
      <c r="BD88" s="153">
        <f t="shared" si="163"/>
        <v>0.27000752395465949</v>
      </c>
      <c r="BE88" s="153">
        <f t="shared" si="137"/>
        <v>0.26787304364555808</v>
      </c>
      <c r="BF88" s="153">
        <f t="shared" si="138"/>
        <v>0.26682256112145786</v>
      </c>
      <c r="BG88" s="153"/>
      <c r="BH88" s="463">
        <f t="shared" si="139"/>
        <v>2.5516422047244101E-2</v>
      </c>
      <c r="BI88" s="463">
        <f t="shared" si="140"/>
        <v>1.3546666666666667E-2</v>
      </c>
      <c r="BJ88" s="463">
        <f t="shared" si="141"/>
        <v>1.2750200853805743E-3</v>
      </c>
      <c r="BK88" s="463">
        <f t="shared" si="142"/>
        <v>8.2912128514056223E-3</v>
      </c>
      <c r="BL88">
        <f t="shared" si="143"/>
        <v>5.7999999999999996E-3</v>
      </c>
      <c r="BM88">
        <f t="shared" si="144"/>
        <v>3.8250602561417237E-6</v>
      </c>
      <c r="BN88">
        <f t="shared" si="145"/>
        <v>5.8151628754456217E-2</v>
      </c>
      <c r="BO88" s="147">
        <f t="shared" si="164"/>
        <v>58.151628754456219</v>
      </c>
      <c r="BP88" s="153">
        <f t="shared" si="146"/>
        <v>8.6527559179118391E-2</v>
      </c>
      <c r="BQ88" s="153">
        <f t="shared" si="147"/>
        <v>8.6098429250288391E-2</v>
      </c>
      <c r="BR88" s="463"/>
      <c r="BT88" s="147">
        <f t="shared" si="165"/>
        <v>172.62598842940679</v>
      </c>
      <c r="BU88" s="463">
        <f t="shared" si="148"/>
        <v>5.8323250393700815E-2</v>
      </c>
      <c r="BV88" s="463">
        <f t="shared" si="149"/>
        <v>5.7117750139500316E-2</v>
      </c>
      <c r="BW88" s="463">
        <f t="shared" si="150"/>
        <v>3.5597139561707059E-3</v>
      </c>
      <c r="BX88" s="463">
        <f t="shared" si="151"/>
        <v>0</v>
      </c>
      <c r="BY88" s="463">
        <f t="shared" si="152"/>
        <v>0.13456183660400678</v>
      </c>
      <c r="BZ88" s="463">
        <f t="shared" si="166"/>
        <v>0.11900071448937184</v>
      </c>
      <c r="CA88" s="549">
        <f t="shared" si="153"/>
        <v>6.6400000000000015E-2</v>
      </c>
      <c r="CB88" s="147">
        <f t="shared" si="167"/>
        <v>200.96183660400681</v>
      </c>
      <c r="CC88" s="153">
        <f t="shared" si="168"/>
        <v>0.43173945378786976</v>
      </c>
      <c r="CD88" s="5">
        <f t="shared" si="169"/>
        <v>2.9880000000000004</v>
      </c>
      <c r="CE88" s="153">
        <f t="shared" si="170"/>
        <v>0.87375077557161429</v>
      </c>
      <c r="CF88" s="5">
        <f t="shared" si="171"/>
        <v>87.375077557161433</v>
      </c>
      <c r="CG88">
        <f t="shared" si="172"/>
        <v>83</v>
      </c>
      <c r="CI88" s="59">
        <f t="shared" si="154"/>
        <v>-50</v>
      </c>
      <c r="CJ88">
        <f t="shared" si="155"/>
        <v>-50</v>
      </c>
    </row>
    <row r="89" spans="5:88" x14ac:dyDescent="0.25">
      <c r="E89" s="150">
        <v>84</v>
      </c>
      <c r="F89" s="191">
        <f t="shared" si="173"/>
        <v>8.4000000000000005E-2</v>
      </c>
      <c r="G89" s="191">
        <f t="shared" si="156"/>
        <v>8.4000000000000005E-2</v>
      </c>
      <c r="H89" s="191">
        <f t="shared" si="105"/>
        <v>1.6800000000000002</v>
      </c>
      <c r="I89" s="191">
        <f t="shared" si="174"/>
        <v>1.3440000000000001</v>
      </c>
      <c r="J89" s="472">
        <f t="shared" si="106"/>
        <v>20</v>
      </c>
      <c r="K89" s="386">
        <f t="shared" si="107"/>
        <v>20.32</v>
      </c>
      <c r="L89" s="386">
        <f t="shared" si="108"/>
        <v>40.32</v>
      </c>
      <c r="M89" s="386"/>
      <c r="N89" s="191">
        <f t="shared" si="109"/>
        <v>0.50396825396825395</v>
      </c>
      <c r="O89" s="152">
        <f t="shared" si="157"/>
        <v>1.8898809523809523</v>
      </c>
      <c r="P89" s="152">
        <f t="shared" si="110"/>
        <v>2.7214285714285715</v>
      </c>
      <c r="Q89" s="191">
        <f t="shared" si="111"/>
        <v>9.4494047619047616E-2</v>
      </c>
      <c r="R89" s="191">
        <f t="shared" si="112"/>
        <v>0.11811755952380952</v>
      </c>
      <c r="S89" s="386">
        <f t="shared" si="113"/>
        <v>20</v>
      </c>
      <c r="T89" s="191">
        <f t="shared" si="114"/>
        <v>0.66670866141732288</v>
      </c>
      <c r="U89" s="191">
        <f t="shared" si="115"/>
        <v>5.0003149606299218</v>
      </c>
      <c r="V89" s="191">
        <f t="shared" si="116"/>
        <v>4.9215698431396859</v>
      </c>
      <c r="W89" s="175">
        <f t="shared" si="117"/>
        <v>350</v>
      </c>
      <c r="X89" s="386">
        <f t="shared" si="158"/>
        <v>100.7873019872264</v>
      </c>
      <c r="Z89" s="191">
        <f t="shared" si="118"/>
        <v>0.19198790627362058</v>
      </c>
      <c r="AA89" s="153">
        <f t="shared" si="119"/>
        <v>1.4172335600907029</v>
      </c>
      <c r="AB89" s="153">
        <f t="shared" si="120"/>
        <v>4.7616048182941621E-2</v>
      </c>
      <c r="AC89" s="153"/>
      <c r="AD89" s="153">
        <f t="shared" si="121"/>
        <v>1.1072834645669289</v>
      </c>
      <c r="AE89" s="317">
        <f t="shared" si="122"/>
        <v>1011.4844444444446</v>
      </c>
      <c r="AF89" s="463">
        <f t="shared" si="123"/>
        <v>2.9066190944881887E-2</v>
      </c>
      <c r="AH89" s="153">
        <f t="shared" si="124"/>
        <v>0.33941125496954283</v>
      </c>
      <c r="AI89" s="153">
        <f t="shared" si="125"/>
        <v>0.66670866141732288</v>
      </c>
      <c r="AJ89" s="153">
        <f t="shared" si="126"/>
        <v>1.5827471566054243</v>
      </c>
      <c r="AL89" s="317">
        <f t="shared" si="127"/>
        <v>84</v>
      </c>
      <c r="AM89" s="147">
        <f t="shared" si="128"/>
        <v>100.7873019872264</v>
      </c>
      <c r="AO89">
        <f t="shared" si="159"/>
        <v>84</v>
      </c>
      <c r="AP89">
        <f t="shared" si="129"/>
        <v>100.7873019872264</v>
      </c>
      <c r="AR89" s="5">
        <f t="shared" si="160"/>
        <v>9.9218848037696077</v>
      </c>
      <c r="AS89" s="5">
        <f t="shared" si="130"/>
        <v>5.0003149606299218</v>
      </c>
      <c r="AT89" s="5">
        <f t="shared" si="161"/>
        <v>4.9215698431396859</v>
      </c>
      <c r="AU89" s="153">
        <f t="shared" si="162"/>
        <v>0.50396825396825407</v>
      </c>
      <c r="AW89" s="5">
        <f t="shared" si="131"/>
        <v>1.7236920000000002</v>
      </c>
      <c r="AX89" s="5">
        <f t="shared" si="132"/>
        <v>12.414370752000002</v>
      </c>
      <c r="AY89" s="5">
        <f t="shared" si="133"/>
        <v>1.7372910952321905</v>
      </c>
      <c r="AZ89" s="5">
        <f t="shared" si="134"/>
        <v>9.0831461585151523</v>
      </c>
      <c r="BA89" s="5">
        <f t="shared" si="135"/>
        <v>0.8268237336474672</v>
      </c>
      <c r="BB89" s="147">
        <f t="shared" si="136"/>
        <v>83.186373364746743</v>
      </c>
      <c r="BC89" s="5"/>
      <c r="BD89" s="153">
        <f t="shared" si="163"/>
        <v>0.27326062665290834</v>
      </c>
      <c r="BE89" s="153">
        <f t="shared" si="137"/>
        <v>0.27110042971357678</v>
      </c>
      <c r="BF89" s="153">
        <f t="shared" si="138"/>
        <v>0.27003729077352356</v>
      </c>
      <c r="BG89" s="153"/>
      <c r="BH89" s="463">
        <f t="shared" si="139"/>
        <v>2.6134979527559058E-2</v>
      </c>
      <c r="BI89" s="463">
        <f t="shared" si="140"/>
        <v>1.3546666666666667E-2</v>
      </c>
      <c r="BJ89" s="463">
        <f t="shared" si="141"/>
        <v>1.25984127484033E-3</v>
      </c>
      <c r="BK89" s="463">
        <f t="shared" si="142"/>
        <v>8.1925079365079388E-3</v>
      </c>
      <c r="BL89">
        <f t="shared" si="143"/>
        <v>5.7999999999999996E-3</v>
      </c>
      <c r="BM89">
        <f t="shared" si="144"/>
        <v>3.7795238245209896E-6</v>
      </c>
      <c r="BN89">
        <f t="shared" si="145"/>
        <v>5.8749280540169486E-2</v>
      </c>
      <c r="BO89" s="147">
        <f t="shared" si="164"/>
        <v>58.749280540169487</v>
      </c>
      <c r="BP89" s="153">
        <f t="shared" si="146"/>
        <v>8.8238518445036912E-2</v>
      </c>
      <c r="BQ89" s="153">
        <f t="shared" si="147"/>
        <v>8.7798985743944652E-2</v>
      </c>
      <c r="BR89" s="463"/>
      <c r="BT89" s="147">
        <f t="shared" si="165"/>
        <v>176.03750418898156</v>
      </c>
      <c r="BU89" s="463">
        <f t="shared" si="148"/>
        <v>5.9737096062992136E-2</v>
      </c>
      <c r="BV89" s="463">
        <f t="shared" si="149"/>
        <v>5.8502372620745251E-2</v>
      </c>
      <c r="BW89" s="463">
        <f t="shared" si="150"/>
        <v>3.6460069204152256E-3</v>
      </c>
      <c r="BX89" s="463">
        <f t="shared" si="151"/>
        <v>0</v>
      </c>
      <c r="BY89" s="463">
        <f t="shared" si="152"/>
        <v>0.13785594365725282</v>
      </c>
      <c r="BZ89" s="463">
        <f t="shared" si="166"/>
        <v>0.12188547560415261</v>
      </c>
      <c r="CA89" s="549">
        <f t="shared" si="153"/>
        <v>6.720000000000001E-2</v>
      </c>
      <c r="CB89" s="147">
        <f t="shared" si="167"/>
        <v>205.05594365725284</v>
      </c>
      <c r="CC89" s="153">
        <f t="shared" si="168"/>
        <v>0.43984272838640393</v>
      </c>
      <c r="CD89" s="5">
        <f t="shared" si="169"/>
        <v>3.024</v>
      </c>
      <c r="CE89" s="153">
        <f t="shared" si="170"/>
        <v>0.87301885135203572</v>
      </c>
      <c r="CF89" s="5">
        <f t="shared" si="171"/>
        <v>87.301885135203577</v>
      </c>
      <c r="CG89">
        <f t="shared" si="172"/>
        <v>84</v>
      </c>
      <c r="CI89" s="59">
        <f t="shared" si="154"/>
        <v>-50</v>
      </c>
      <c r="CJ89">
        <f t="shared" si="155"/>
        <v>-50</v>
      </c>
    </row>
    <row r="90" spans="5:88" x14ac:dyDescent="0.25">
      <c r="E90" s="150">
        <v>85</v>
      </c>
      <c r="F90" s="191">
        <f t="shared" si="173"/>
        <v>8.5000000000000006E-2</v>
      </c>
      <c r="G90" s="191">
        <f t="shared" si="156"/>
        <v>8.5000000000000006E-2</v>
      </c>
      <c r="H90" s="191">
        <f t="shared" si="105"/>
        <v>1.7000000000000002</v>
      </c>
      <c r="I90" s="191">
        <f t="shared" si="174"/>
        <v>1.36</v>
      </c>
      <c r="J90" s="472">
        <f t="shared" si="106"/>
        <v>20</v>
      </c>
      <c r="K90" s="386">
        <f t="shared" si="107"/>
        <v>20.32</v>
      </c>
      <c r="L90" s="386">
        <f t="shared" si="108"/>
        <v>40.32</v>
      </c>
      <c r="M90" s="386"/>
      <c r="N90" s="191">
        <f t="shared" si="109"/>
        <v>0.50396825396825395</v>
      </c>
      <c r="O90" s="152">
        <f t="shared" si="157"/>
        <v>1.8898809523809523</v>
      </c>
      <c r="P90" s="152">
        <f t="shared" si="110"/>
        <v>2.7214285714285715</v>
      </c>
      <c r="Q90" s="191">
        <f t="shared" si="111"/>
        <v>9.4494047619047616E-2</v>
      </c>
      <c r="R90" s="191">
        <f t="shared" si="112"/>
        <v>0.11811755952380952</v>
      </c>
      <c r="S90" s="386">
        <f t="shared" si="113"/>
        <v>20</v>
      </c>
      <c r="T90" s="191">
        <f t="shared" si="114"/>
        <v>0.67464566929133873</v>
      </c>
      <c r="U90" s="191">
        <f t="shared" si="115"/>
        <v>5.0598425196850396</v>
      </c>
      <c r="V90" s="191">
        <f t="shared" si="116"/>
        <v>4.9801599603199209</v>
      </c>
      <c r="W90" s="175">
        <f t="shared" si="117"/>
        <v>350</v>
      </c>
      <c r="X90" s="386">
        <f t="shared" si="158"/>
        <v>99.601569022670787</v>
      </c>
      <c r="Z90" s="191">
        <f t="shared" si="118"/>
        <v>0.19198790627362058</v>
      </c>
      <c r="AA90" s="153">
        <f t="shared" si="119"/>
        <v>1.4172335600907029</v>
      </c>
      <c r="AB90" s="153">
        <f t="shared" si="120"/>
        <v>4.7616048182941621E-2</v>
      </c>
      <c r="AC90" s="153"/>
      <c r="AD90" s="153">
        <f t="shared" si="121"/>
        <v>1.1072834645669289</v>
      </c>
      <c r="AE90" s="317">
        <f t="shared" si="122"/>
        <v>1023.5259259259261</v>
      </c>
      <c r="AF90" s="463">
        <f t="shared" si="123"/>
        <v>2.9066190944881887E-2</v>
      </c>
      <c r="AH90" s="153">
        <f t="shared" si="124"/>
        <v>0.34142558277233503</v>
      </c>
      <c r="AI90" s="153">
        <f t="shared" si="125"/>
        <v>0.67464566929133873</v>
      </c>
      <c r="AJ90" s="153">
        <f t="shared" si="126"/>
        <v>1.5886264216972878</v>
      </c>
      <c r="AL90" s="317">
        <f t="shared" si="127"/>
        <v>85</v>
      </c>
      <c r="AM90" s="147">
        <f t="shared" si="128"/>
        <v>99.601569022670787</v>
      </c>
      <c r="AO90">
        <f t="shared" si="159"/>
        <v>85</v>
      </c>
      <c r="AP90">
        <f t="shared" si="129"/>
        <v>99.601569022670787</v>
      </c>
      <c r="AR90" s="5">
        <f t="shared" si="160"/>
        <v>10.04000248000496</v>
      </c>
      <c r="AS90" s="5">
        <f t="shared" si="130"/>
        <v>5.0598425196850396</v>
      </c>
      <c r="AT90" s="5">
        <f t="shared" si="161"/>
        <v>4.98015996031992</v>
      </c>
      <c r="AU90" s="153">
        <f t="shared" si="162"/>
        <v>0.50396825396825407</v>
      </c>
      <c r="AW90" s="5">
        <f t="shared" si="131"/>
        <v>1.7236920000000002</v>
      </c>
      <c r="AX90" s="5">
        <f t="shared" si="132"/>
        <v>12.708674700000003</v>
      </c>
      <c r="AY90" s="5">
        <f t="shared" si="133"/>
        <v>1.7372910952321905</v>
      </c>
      <c r="AZ90" s="5">
        <f t="shared" si="134"/>
        <v>9.2986750276746015</v>
      </c>
      <c r="BA90" s="5">
        <f t="shared" si="135"/>
        <v>0.84662719325438651</v>
      </c>
      <c r="BB90" s="147">
        <f t="shared" si="136"/>
        <v>85.172719325438649</v>
      </c>
      <c r="BC90" s="5"/>
      <c r="BD90" s="153">
        <f t="shared" si="163"/>
        <v>0.27651372935115731</v>
      </c>
      <c r="BE90" s="153">
        <f t="shared" si="137"/>
        <v>0.2743278157815956</v>
      </c>
      <c r="BF90" s="153">
        <f t="shared" si="138"/>
        <v>0.27325202042558933</v>
      </c>
      <c r="BG90" s="153"/>
      <c r="BH90" s="463">
        <f t="shared" si="139"/>
        <v>2.6760944881889775E-2</v>
      </c>
      <c r="BI90" s="463">
        <f t="shared" si="140"/>
        <v>1.354666666666667E-2</v>
      </c>
      <c r="BJ90" s="463">
        <f t="shared" si="141"/>
        <v>1.2450196127833848E-3</v>
      </c>
      <c r="BK90" s="463">
        <f t="shared" si="142"/>
        <v>8.0961254901960791E-3</v>
      </c>
      <c r="BL90">
        <f t="shared" si="143"/>
        <v>5.7999999999999996E-3</v>
      </c>
      <c r="BM90">
        <f t="shared" si="144"/>
        <v>3.7350588383501545E-6</v>
      </c>
      <c r="BN90">
        <f t="shared" si="145"/>
        <v>5.935829457655218E-2</v>
      </c>
      <c r="BO90" s="147">
        <f t="shared" si="164"/>
        <v>59.358294576552183</v>
      </c>
      <c r="BP90" s="153">
        <f t="shared" si="146"/>
        <v>8.996539339078681E-2</v>
      </c>
      <c r="BQ90" s="153">
        <f t="shared" si="147"/>
        <v>8.9515333333333363E-2</v>
      </c>
      <c r="BR90" s="463"/>
      <c r="BT90" s="147">
        <f t="shared" si="165"/>
        <v>179.48072672412019</v>
      </c>
      <c r="BU90" s="463">
        <f t="shared" si="148"/>
        <v>6.116787401574806E-2</v>
      </c>
      <c r="BV90" s="463">
        <f t="shared" si="149"/>
        <v>5.9903577407154837E-2</v>
      </c>
      <c r="BW90" s="463">
        <f t="shared" si="150"/>
        <v>3.7333333333333346E-3</v>
      </c>
      <c r="BX90" s="463">
        <f t="shared" si="151"/>
        <v>0</v>
      </c>
      <c r="BY90" s="463">
        <f t="shared" si="152"/>
        <v>0.14119106456074521</v>
      </c>
      <c r="BZ90" s="463">
        <f t="shared" si="166"/>
        <v>0.12480478475623624</v>
      </c>
      <c r="CA90" s="549">
        <f t="shared" si="153"/>
        <v>6.8000000000000033E-2</v>
      </c>
      <c r="CB90" s="147">
        <f t="shared" si="167"/>
        <v>209.19106456074525</v>
      </c>
      <c r="CC90" s="153">
        <f t="shared" si="168"/>
        <v>0.44803008586141757</v>
      </c>
      <c r="CD90" s="5">
        <f t="shared" si="169"/>
        <v>3.0600000000000005</v>
      </c>
      <c r="CE90" s="153">
        <f t="shared" si="170"/>
        <v>0.87228442319604527</v>
      </c>
      <c r="CF90" s="5">
        <f t="shared" si="171"/>
        <v>87.228442319604525</v>
      </c>
      <c r="CG90">
        <f t="shared" si="172"/>
        <v>85</v>
      </c>
      <c r="CI90" s="59">
        <f t="shared" si="154"/>
        <v>-50</v>
      </c>
      <c r="CJ90">
        <f t="shared" si="155"/>
        <v>-50</v>
      </c>
    </row>
    <row r="91" spans="5:88" x14ac:dyDescent="0.25">
      <c r="E91" s="150">
        <v>86</v>
      </c>
      <c r="F91" s="191">
        <f t="shared" si="173"/>
        <v>8.6000000000000007E-2</v>
      </c>
      <c r="G91" s="191">
        <f t="shared" si="156"/>
        <v>8.6000000000000007E-2</v>
      </c>
      <c r="H91" s="191">
        <f t="shared" si="105"/>
        <v>1.7200000000000002</v>
      </c>
      <c r="I91" s="191">
        <f t="shared" si="174"/>
        <v>1.3760000000000001</v>
      </c>
      <c r="J91" s="472">
        <f t="shared" si="106"/>
        <v>20</v>
      </c>
      <c r="K91" s="386">
        <f t="shared" si="107"/>
        <v>20.32</v>
      </c>
      <c r="L91" s="386">
        <f t="shared" si="108"/>
        <v>40.32</v>
      </c>
      <c r="M91" s="386"/>
      <c r="N91" s="191">
        <f t="shared" si="109"/>
        <v>0.50396825396825395</v>
      </c>
      <c r="O91" s="152">
        <f t="shared" si="157"/>
        <v>1.8898809523809523</v>
      </c>
      <c r="P91" s="152">
        <f t="shared" si="110"/>
        <v>2.7214285714285715</v>
      </c>
      <c r="Q91" s="191">
        <f t="shared" si="111"/>
        <v>9.4494047619047616E-2</v>
      </c>
      <c r="R91" s="191">
        <f t="shared" si="112"/>
        <v>0.11811755952380952</v>
      </c>
      <c r="S91" s="386">
        <f t="shared" si="113"/>
        <v>20</v>
      </c>
      <c r="T91" s="191">
        <f t="shared" si="114"/>
        <v>0.68258267716535437</v>
      </c>
      <c r="U91" s="191">
        <f t="shared" si="115"/>
        <v>5.1193700787401575</v>
      </c>
      <c r="V91" s="191">
        <f t="shared" si="116"/>
        <v>5.038750077500155</v>
      </c>
      <c r="W91" s="175">
        <f t="shared" si="117"/>
        <v>350</v>
      </c>
      <c r="X91" s="386">
        <f t="shared" si="158"/>
        <v>98.443411243337422</v>
      </c>
      <c r="Z91" s="191">
        <f t="shared" si="118"/>
        <v>0.19198790627362058</v>
      </c>
      <c r="AA91" s="153">
        <f t="shared" si="119"/>
        <v>1.4172335600907029</v>
      </c>
      <c r="AB91" s="153">
        <f t="shared" si="120"/>
        <v>4.7616048182941621E-2</v>
      </c>
      <c r="AC91" s="153"/>
      <c r="AD91" s="153">
        <f t="shared" si="121"/>
        <v>1.1072834645669289</v>
      </c>
      <c r="AE91" s="317">
        <f t="shared" si="122"/>
        <v>1035.5674074074075</v>
      </c>
      <c r="AF91" s="463">
        <f t="shared" si="123"/>
        <v>2.9066190944881887E-2</v>
      </c>
      <c r="AH91" s="153">
        <f t="shared" si="124"/>
        <v>0.3434280960300965</v>
      </c>
      <c r="AI91" s="153">
        <f t="shared" si="125"/>
        <v>0.68258267716535437</v>
      </c>
      <c r="AJ91" s="153">
        <f t="shared" si="126"/>
        <v>1.5945056867891514</v>
      </c>
      <c r="AL91" s="317">
        <f t="shared" si="127"/>
        <v>86</v>
      </c>
      <c r="AM91" s="147">
        <f t="shared" si="128"/>
        <v>98.443411243337422</v>
      </c>
      <c r="AO91">
        <f t="shared" si="159"/>
        <v>86</v>
      </c>
      <c r="AP91">
        <f t="shared" si="129"/>
        <v>98.443411243337422</v>
      </c>
      <c r="AR91" s="5">
        <f t="shared" si="160"/>
        <v>10.158120156240312</v>
      </c>
      <c r="AS91" s="5">
        <f t="shared" si="130"/>
        <v>5.1193700787401575</v>
      </c>
      <c r="AT91" s="5">
        <f t="shared" si="161"/>
        <v>5.0387500775001541</v>
      </c>
      <c r="AU91" s="153">
        <f t="shared" si="162"/>
        <v>0.50396825396825407</v>
      </c>
      <c r="AW91" s="5">
        <f t="shared" si="131"/>
        <v>1.7236920000000002</v>
      </c>
      <c r="AX91" s="5">
        <f t="shared" si="132"/>
        <v>13.006426032</v>
      </c>
      <c r="AY91" s="5">
        <f t="shared" si="133"/>
        <v>1.7372910952321905</v>
      </c>
      <c r="AZ91" s="5">
        <f t="shared" si="134"/>
        <v>9.5167308656998415</v>
      </c>
      <c r="BA91" s="5">
        <f t="shared" si="135"/>
        <v>0.86666501333002643</v>
      </c>
      <c r="BB91" s="147">
        <f t="shared" si="136"/>
        <v>87.182501333002648</v>
      </c>
      <c r="BC91" s="5"/>
      <c r="BD91" s="153">
        <f t="shared" si="163"/>
        <v>0.27976683204940617</v>
      </c>
      <c r="BE91" s="153">
        <f t="shared" si="137"/>
        <v>0.2775552018496143</v>
      </c>
      <c r="BF91" s="153">
        <f t="shared" si="138"/>
        <v>0.27646675007765509</v>
      </c>
      <c r="BG91" s="153"/>
      <c r="BH91" s="463">
        <f t="shared" si="139"/>
        <v>2.7394318110236224E-2</v>
      </c>
      <c r="BI91" s="463">
        <f t="shared" si="140"/>
        <v>1.354666666666667E-2</v>
      </c>
      <c r="BJ91" s="463">
        <f t="shared" si="141"/>
        <v>1.2305426405417178E-3</v>
      </c>
      <c r="BK91" s="463">
        <f t="shared" si="142"/>
        <v>8.0019844961240327E-3</v>
      </c>
      <c r="BL91">
        <f t="shared" si="143"/>
        <v>5.7999999999999996E-3</v>
      </c>
      <c r="BM91">
        <f t="shared" si="144"/>
        <v>3.691627921625153E-6</v>
      </c>
      <c r="BN91">
        <f t="shared" si="145"/>
        <v>5.9978583342675973E-2</v>
      </c>
      <c r="BO91" s="147">
        <f t="shared" si="164"/>
        <v>59.978583342675975</v>
      </c>
      <c r="BP91" s="153">
        <f t="shared" si="146"/>
        <v>9.1708184016368044E-2</v>
      </c>
      <c r="BQ91" s="153">
        <f t="shared" si="147"/>
        <v>9.124747201845447E-2</v>
      </c>
      <c r="BR91" s="463"/>
      <c r="BT91" s="147">
        <f t="shared" si="165"/>
        <v>182.95565603482251</v>
      </c>
      <c r="BU91" s="463">
        <f t="shared" si="148"/>
        <v>6.2615584251968517E-2</v>
      </c>
      <c r="BV91" s="463">
        <f t="shared" si="149"/>
        <v>6.1321364498728985E-2</v>
      </c>
      <c r="BW91" s="463">
        <f t="shared" si="150"/>
        <v>3.8216931949250302E-3</v>
      </c>
      <c r="BX91" s="463">
        <f t="shared" si="151"/>
        <v>0</v>
      </c>
      <c r="BY91" s="463">
        <f t="shared" si="152"/>
        <v>0.14456725628572678</v>
      </c>
      <c r="BZ91" s="463">
        <f t="shared" si="166"/>
        <v>0.12775864194562253</v>
      </c>
      <c r="CA91" s="549">
        <f t="shared" si="153"/>
        <v>6.88E-2</v>
      </c>
      <c r="CB91" s="147">
        <f t="shared" si="167"/>
        <v>213.36725628572677</v>
      </c>
      <c r="CC91" s="153">
        <f t="shared" si="168"/>
        <v>0.4563014956632252</v>
      </c>
      <c r="CD91" s="5">
        <f t="shared" si="169"/>
        <v>3.0960000000000001</v>
      </c>
      <c r="CE91" s="153">
        <f t="shared" si="170"/>
        <v>0.87154764419059194</v>
      </c>
      <c r="CF91" s="5">
        <f t="shared" si="171"/>
        <v>87.154764419059191</v>
      </c>
      <c r="CG91">
        <f t="shared" si="172"/>
        <v>86</v>
      </c>
      <c r="CI91" s="59">
        <f t="shared" si="154"/>
        <v>-50</v>
      </c>
      <c r="CJ91">
        <f t="shared" si="155"/>
        <v>-50</v>
      </c>
    </row>
    <row r="92" spans="5:88" x14ac:dyDescent="0.25">
      <c r="E92" s="150">
        <v>87</v>
      </c>
      <c r="F92" s="191">
        <f t="shared" si="173"/>
        <v>8.7000000000000008E-2</v>
      </c>
      <c r="G92" s="191">
        <f t="shared" si="156"/>
        <v>8.7000000000000008E-2</v>
      </c>
      <c r="H92" s="191">
        <f t="shared" si="105"/>
        <v>1.7400000000000002</v>
      </c>
      <c r="I92" s="191">
        <f t="shared" si="174"/>
        <v>1.3920000000000001</v>
      </c>
      <c r="J92" s="472">
        <f t="shared" si="106"/>
        <v>20</v>
      </c>
      <c r="K92" s="386">
        <f t="shared" si="107"/>
        <v>20.32</v>
      </c>
      <c r="L92" s="386">
        <f t="shared" si="108"/>
        <v>40.32</v>
      </c>
      <c r="M92" s="386"/>
      <c r="N92" s="191">
        <f t="shared" si="109"/>
        <v>0.50396825396825395</v>
      </c>
      <c r="O92" s="152">
        <f t="shared" si="157"/>
        <v>1.8898809523809523</v>
      </c>
      <c r="P92" s="152">
        <f t="shared" si="110"/>
        <v>2.7214285714285715</v>
      </c>
      <c r="Q92" s="191">
        <f t="shared" si="111"/>
        <v>9.4494047619047616E-2</v>
      </c>
      <c r="R92" s="191">
        <f t="shared" si="112"/>
        <v>0.11811755952380952</v>
      </c>
      <c r="S92" s="386">
        <f t="shared" si="113"/>
        <v>20</v>
      </c>
      <c r="T92" s="191">
        <f t="shared" si="114"/>
        <v>0.69051968503937022</v>
      </c>
      <c r="U92" s="191">
        <f t="shared" si="115"/>
        <v>5.1788976377952762</v>
      </c>
      <c r="V92" s="191">
        <f t="shared" si="116"/>
        <v>5.09734019468039</v>
      </c>
      <c r="W92" s="175">
        <f t="shared" si="117"/>
        <v>350</v>
      </c>
      <c r="X92" s="386">
        <f t="shared" si="158"/>
        <v>97.311877780770317</v>
      </c>
      <c r="Z92" s="191">
        <f t="shared" si="118"/>
        <v>0.19198790627362058</v>
      </c>
      <c r="AA92" s="153">
        <f t="shared" si="119"/>
        <v>1.4172335600907029</v>
      </c>
      <c r="AB92" s="153">
        <f t="shared" si="120"/>
        <v>4.7616048182941621E-2</v>
      </c>
      <c r="AC92" s="153"/>
      <c r="AD92" s="153">
        <f t="shared" si="121"/>
        <v>1.1072834645669289</v>
      </c>
      <c r="AE92" s="317">
        <f t="shared" si="122"/>
        <v>1047.6088888888892</v>
      </c>
      <c r="AF92" s="463">
        <f t="shared" si="123"/>
        <v>2.9066190944881887E-2</v>
      </c>
      <c r="AH92" s="153">
        <f t="shared" si="124"/>
        <v>0.34541900022188377</v>
      </c>
      <c r="AI92" s="153">
        <f t="shared" si="125"/>
        <v>0.69051968503937022</v>
      </c>
      <c r="AJ92" s="153">
        <f t="shared" si="126"/>
        <v>1.6003849518810149</v>
      </c>
      <c r="AL92" s="317">
        <f t="shared" si="127"/>
        <v>87.000000000000014</v>
      </c>
      <c r="AM92" s="147">
        <f t="shared" si="128"/>
        <v>97.311877780770317</v>
      </c>
      <c r="AO92">
        <f t="shared" si="159"/>
        <v>87.000000000000014</v>
      </c>
      <c r="AP92">
        <f t="shared" si="129"/>
        <v>97.311877780770317</v>
      </c>
      <c r="AR92" s="5">
        <f t="shared" si="160"/>
        <v>10.276237832475665</v>
      </c>
      <c r="AS92" s="5">
        <f t="shared" si="130"/>
        <v>5.1788976377952762</v>
      </c>
      <c r="AT92" s="5">
        <f t="shared" si="161"/>
        <v>5.0973401946803891</v>
      </c>
      <c r="AU92" s="153">
        <f t="shared" si="162"/>
        <v>0.50396825396825407</v>
      </c>
      <c r="AW92" s="5">
        <f t="shared" si="131"/>
        <v>1.7236920000000002</v>
      </c>
      <c r="AX92" s="5">
        <f t="shared" si="132"/>
        <v>13.307624748</v>
      </c>
      <c r="AY92" s="5">
        <f t="shared" si="133"/>
        <v>1.7372910952321905</v>
      </c>
      <c r="AZ92" s="5">
        <f t="shared" si="134"/>
        <v>9.7373136725908704</v>
      </c>
      <c r="BA92" s="5">
        <f t="shared" si="135"/>
        <v>0.88693719387438774</v>
      </c>
      <c r="BB92" s="147">
        <f t="shared" si="136"/>
        <v>89.215719387438781</v>
      </c>
      <c r="BC92" s="5"/>
      <c r="BD92" s="153">
        <f t="shared" si="163"/>
        <v>0.28301993474765513</v>
      </c>
      <c r="BE92" s="153">
        <f t="shared" si="137"/>
        <v>0.28078258791763311</v>
      </c>
      <c r="BF92" s="153">
        <f t="shared" si="138"/>
        <v>0.27968147972972085</v>
      </c>
      <c r="BG92" s="153"/>
      <c r="BH92" s="463">
        <f t="shared" si="139"/>
        <v>2.8035099212598436E-2</v>
      </c>
      <c r="BI92" s="463">
        <f t="shared" si="140"/>
        <v>1.354666666666667E-2</v>
      </c>
      <c r="BJ92" s="463">
        <f t="shared" si="141"/>
        <v>1.2163984722596288E-3</v>
      </c>
      <c r="BK92" s="463">
        <f t="shared" si="142"/>
        <v>7.9100076628352504E-3</v>
      </c>
      <c r="BL92">
        <f t="shared" si="143"/>
        <v>5.7999999999999996E-3</v>
      </c>
      <c r="BM92">
        <f t="shared" si="144"/>
        <v>3.6491954167788866E-6</v>
      </c>
      <c r="BN92">
        <f t="shared" si="145"/>
        <v>6.0610063691444352E-2</v>
      </c>
      <c r="BO92" s="147">
        <f t="shared" si="164"/>
        <v>60.610063691444353</v>
      </c>
      <c r="BP92" s="153">
        <f t="shared" si="146"/>
        <v>9.3466890321780655E-2</v>
      </c>
      <c r="BQ92" s="153">
        <f t="shared" si="147"/>
        <v>9.2995401799308E-2</v>
      </c>
      <c r="BR92" s="463"/>
      <c r="BT92" s="147">
        <f t="shared" si="165"/>
        <v>186.46229212108867</v>
      </c>
      <c r="BU92" s="463">
        <f t="shared" si="148"/>
        <v>6.4080226771653578E-2</v>
      </c>
      <c r="BV92" s="463">
        <f t="shared" si="149"/>
        <v>6.2755733895467791E-2</v>
      </c>
      <c r="BW92" s="463">
        <f t="shared" si="150"/>
        <v>3.9110865051903134E-3</v>
      </c>
      <c r="BX92" s="463">
        <f t="shared" si="151"/>
        <v>0</v>
      </c>
      <c r="BY92" s="463">
        <f t="shared" si="152"/>
        <v>0.14798457654582201</v>
      </c>
      <c r="BZ92" s="463">
        <f t="shared" si="166"/>
        <v>0.1307470471723117</v>
      </c>
      <c r="CA92" s="549">
        <f t="shared" si="153"/>
        <v>6.9600000000000023E-2</v>
      </c>
      <c r="CB92" s="147">
        <f t="shared" si="167"/>
        <v>217.58457654582202</v>
      </c>
      <c r="CC92" s="153">
        <f t="shared" si="168"/>
        <v>0.46465693235835503</v>
      </c>
      <c r="CD92" s="5">
        <f t="shared" si="169"/>
        <v>3.1320000000000006</v>
      </c>
      <c r="CE92" s="153">
        <f t="shared" si="170"/>
        <v>0.87080865895828541</v>
      </c>
      <c r="CF92" s="5">
        <f t="shared" si="171"/>
        <v>87.080865895828538</v>
      </c>
      <c r="CG92">
        <f t="shared" si="172"/>
        <v>87</v>
      </c>
      <c r="CI92" s="59">
        <f t="shared" si="154"/>
        <v>-50</v>
      </c>
      <c r="CJ92">
        <f t="shared" si="155"/>
        <v>-50</v>
      </c>
    </row>
    <row r="93" spans="5:88" x14ac:dyDescent="0.25">
      <c r="E93" s="150">
        <v>88</v>
      </c>
      <c r="F93" s="191">
        <f t="shared" si="173"/>
        <v>8.8000000000000009E-2</v>
      </c>
      <c r="G93" s="191">
        <f t="shared" si="156"/>
        <v>8.8000000000000009E-2</v>
      </c>
      <c r="H93" s="191">
        <f t="shared" si="105"/>
        <v>1.7600000000000002</v>
      </c>
      <c r="I93" s="191">
        <f t="shared" si="174"/>
        <v>1.4080000000000001</v>
      </c>
      <c r="J93" s="472">
        <f t="shared" si="106"/>
        <v>20</v>
      </c>
      <c r="K93" s="386">
        <f t="shared" si="107"/>
        <v>20.32</v>
      </c>
      <c r="L93" s="386">
        <f t="shared" si="108"/>
        <v>40.32</v>
      </c>
      <c r="M93" s="386"/>
      <c r="N93" s="191">
        <f t="shared" si="109"/>
        <v>0.50396825396825395</v>
      </c>
      <c r="O93" s="152">
        <f t="shared" si="157"/>
        <v>1.8898809523809523</v>
      </c>
      <c r="P93" s="152">
        <f t="shared" si="110"/>
        <v>2.7214285714285715</v>
      </c>
      <c r="Q93" s="191">
        <f t="shared" si="111"/>
        <v>9.4494047619047616E-2</v>
      </c>
      <c r="R93" s="191">
        <f t="shared" si="112"/>
        <v>0.11811755952380952</v>
      </c>
      <c r="S93" s="386">
        <f t="shared" si="113"/>
        <v>20</v>
      </c>
      <c r="T93" s="191">
        <f t="shared" si="114"/>
        <v>0.69845669291338586</v>
      </c>
      <c r="U93" s="191">
        <f t="shared" si="115"/>
        <v>5.2384251968503932</v>
      </c>
      <c r="V93" s="191">
        <f t="shared" si="116"/>
        <v>5.1559303118606232</v>
      </c>
      <c r="W93" s="175">
        <f t="shared" si="117"/>
        <v>350</v>
      </c>
      <c r="X93" s="386">
        <f t="shared" si="158"/>
        <v>96.206060987807035</v>
      </c>
      <c r="Z93" s="191">
        <f t="shared" si="118"/>
        <v>0.19198790627362058</v>
      </c>
      <c r="AA93" s="153">
        <f t="shared" si="119"/>
        <v>1.4172335600907029</v>
      </c>
      <c r="AB93" s="153">
        <f t="shared" si="120"/>
        <v>4.7616048182941621E-2</v>
      </c>
      <c r="AC93" s="153"/>
      <c r="AD93" s="153">
        <f t="shared" si="121"/>
        <v>1.1072834645669289</v>
      </c>
      <c r="AE93" s="317">
        <f t="shared" si="122"/>
        <v>1059.6503703703706</v>
      </c>
      <c r="AF93" s="463">
        <f t="shared" si="123"/>
        <v>2.9066190944881887E-2</v>
      </c>
      <c r="AH93" s="153">
        <f t="shared" si="124"/>
        <v>0.34739849493875807</v>
      </c>
      <c r="AI93" s="153">
        <f t="shared" si="125"/>
        <v>0.69845669291338586</v>
      </c>
      <c r="AJ93" s="153">
        <f t="shared" si="126"/>
        <v>1.6062642169728782</v>
      </c>
      <c r="AL93" s="317">
        <f t="shared" si="127"/>
        <v>88.000000000000014</v>
      </c>
      <c r="AM93" s="147">
        <f t="shared" si="128"/>
        <v>96.206060987807035</v>
      </c>
      <c r="AO93">
        <f t="shared" si="159"/>
        <v>88.000000000000014</v>
      </c>
      <c r="AP93">
        <f t="shared" si="129"/>
        <v>96.206060987807035</v>
      </c>
      <c r="AR93" s="5">
        <f t="shared" si="160"/>
        <v>10.394355508711016</v>
      </c>
      <c r="AS93" s="5">
        <f t="shared" si="130"/>
        <v>5.2384251968503932</v>
      </c>
      <c r="AT93" s="5">
        <f t="shared" si="161"/>
        <v>5.1559303118606223</v>
      </c>
      <c r="AU93" s="153">
        <f t="shared" si="162"/>
        <v>0.50396825396825407</v>
      </c>
      <c r="AW93" s="5">
        <f t="shared" si="131"/>
        <v>1.7236920000000002</v>
      </c>
      <c r="AX93" s="5">
        <f t="shared" si="132"/>
        <v>13.612270848000001</v>
      </c>
      <c r="AY93" s="5">
        <f t="shared" si="133"/>
        <v>1.7372910952321905</v>
      </c>
      <c r="AZ93" s="5">
        <f t="shared" si="134"/>
        <v>9.9604234483476972</v>
      </c>
      <c r="BA93" s="5">
        <f t="shared" si="135"/>
        <v>0.90744373488746943</v>
      </c>
      <c r="BB93" s="147">
        <f t="shared" si="136"/>
        <v>91.272373488746965</v>
      </c>
      <c r="BC93" s="5"/>
      <c r="BD93" s="153">
        <f t="shared" si="163"/>
        <v>0.28627303744590399</v>
      </c>
      <c r="BE93" s="153">
        <f t="shared" si="137"/>
        <v>0.28400997398565186</v>
      </c>
      <c r="BF93" s="153">
        <f t="shared" si="138"/>
        <v>0.28289620938178656</v>
      </c>
      <c r="BG93" s="153"/>
      <c r="BH93" s="463">
        <f t="shared" si="139"/>
        <v>2.8683288188976381E-2</v>
      </c>
      <c r="BI93" s="463">
        <f t="shared" si="140"/>
        <v>1.354666666666667E-2</v>
      </c>
      <c r="BJ93" s="463">
        <f t="shared" si="141"/>
        <v>1.2025757623475878E-3</v>
      </c>
      <c r="BK93" s="463">
        <f t="shared" si="142"/>
        <v>7.820121212121214E-3</v>
      </c>
      <c r="BL93">
        <f t="shared" si="143"/>
        <v>5.7999999999999996E-3</v>
      </c>
      <c r="BM93">
        <f t="shared" si="144"/>
        <v>3.6077272870427635E-6</v>
      </c>
      <c r="BN93">
        <f t="shared" si="145"/>
        <v>6.125265660543433E-2</v>
      </c>
      <c r="BO93" s="147">
        <f t="shared" si="164"/>
        <v>61.252656605434332</v>
      </c>
      <c r="BP93" s="153">
        <f t="shared" si="146"/>
        <v>9.5241512307024628E-2</v>
      </c>
      <c r="BQ93" s="153">
        <f t="shared" si="147"/>
        <v>9.4759122675893911E-2</v>
      </c>
      <c r="BR93" s="463"/>
      <c r="BT93" s="147">
        <f t="shared" si="165"/>
        <v>190.00063498291851</v>
      </c>
      <c r="BU93" s="463">
        <f t="shared" si="148"/>
        <v>6.5561801574803166E-2</v>
      </c>
      <c r="BV93" s="463">
        <f t="shared" si="149"/>
        <v>6.4206685597371194E-2</v>
      </c>
      <c r="BW93" s="463">
        <f t="shared" si="150"/>
        <v>4.0015132641291811E-3</v>
      </c>
      <c r="BX93" s="463">
        <f t="shared" si="151"/>
        <v>0</v>
      </c>
      <c r="BY93" s="463">
        <f t="shared" si="152"/>
        <v>0.15144308379953511</v>
      </c>
      <c r="BZ93" s="463">
        <f t="shared" si="166"/>
        <v>0.13377000043630355</v>
      </c>
      <c r="CA93" s="549">
        <f t="shared" si="153"/>
        <v>7.0400000000000018E-2</v>
      </c>
      <c r="CB93" s="147">
        <f t="shared" si="167"/>
        <v>221.84308379953512</v>
      </c>
      <c r="CC93" s="153">
        <f t="shared" si="168"/>
        <v>0.47309637538788796</v>
      </c>
      <c r="CD93" s="5">
        <f t="shared" si="169"/>
        <v>3.1680000000000001</v>
      </c>
      <c r="CE93" s="153">
        <f t="shared" si="170"/>
        <v>0.87006760420136131</v>
      </c>
      <c r="CF93" s="5">
        <f t="shared" si="171"/>
        <v>87.006760420136132</v>
      </c>
      <c r="CG93">
        <f t="shared" si="172"/>
        <v>88</v>
      </c>
      <c r="CI93" s="59">
        <f t="shared" si="154"/>
        <v>-50</v>
      </c>
      <c r="CJ93">
        <f t="shared" si="155"/>
        <v>-50</v>
      </c>
    </row>
    <row r="94" spans="5:88" x14ac:dyDescent="0.25">
      <c r="E94" s="150">
        <v>89</v>
      </c>
      <c r="F94" s="191">
        <f t="shared" si="173"/>
        <v>8.900000000000001E-2</v>
      </c>
      <c r="G94" s="191">
        <f t="shared" si="156"/>
        <v>8.900000000000001E-2</v>
      </c>
      <c r="H94" s="191">
        <f t="shared" si="105"/>
        <v>1.7800000000000002</v>
      </c>
      <c r="I94" s="191">
        <f t="shared" si="174"/>
        <v>1.4240000000000002</v>
      </c>
      <c r="J94" s="472">
        <f t="shared" si="106"/>
        <v>20</v>
      </c>
      <c r="K94" s="386">
        <f t="shared" si="107"/>
        <v>20.32</v>
      </c>
      <c r="L94" s="386">
        <f t="shared" si="108"/>
        <v>40.32</v>
      </c>
      <c r="M94" s="386"/>
      <c r="N94" s="191">
        <f t="shared" si="109"/>
        <v>0.50396825396825395</v>
      </c>
      <c r="O94" s="152">
        <f t="shared" si="157"/>
        <v>1.8898809523809523</v>
      </c>
      <c r="P94" s="152">
        <f t="shared" si="110"/>
        <v>2.7214285714285715</v>
      </c>
      <c r="Q94" s="191">
        <f t="shared" si="111"/>
        <v>9.4494047619047616E-2</v>
      </c>
      <c r="R94" s="191">
        <f t="shared" si="112"/>
        <v>0.11811755952380952</v>
      </c>
      <c r="S94" s="386">
        <f t="shared" si="113"/>
        <v>20</v>
      </c>
      <c r="T94" s="191">
        <f t="shared" si="114"/>
        <v>0.70639370078740171</v>
      </c>
      <c r="U94" s="191">
        <f t="shared" si="115"/>
        <v>5.2979527559055128</v>
      </c>
      <c r="V94" s="191">
        <f t="shared" si="116"/>
        <v>5.2145204290408582</v>
      </c>
      <c r="W94" s="175">
        <f t="shared" si="117"/>
        <v>350</v>
      </c>
      <c r="X94" s="386">
        <f t="shared" si="158"/>
        <v>95.125094010415921</v>
      </c>
      <c r="Z94" s="191">
        <f t="shared" si="118"/>
        <v>0.19198790627362058</v>
      </c>
      <c r="AA94" s="153">
        <f t="shared" si="119"/>
        <v>1.4172335600907029</v>
      </c>
      <c r="AB94" s="153">
        <f t="shared" si="120"/>
        <v>4.7616048182941621E-2</v>
      </c>
      <c r="AC94" s="153"/>
      <c r="AD94" s="153">
        <f t="shared" si="121"/>
        <v>1.1072834645669289</v>
      </c>
      <c r="AE94" s="317">
        <f t="shared" si="122"/>
        <v>1071.6918518518521</v>
      </c>
      <c r="AF94" s="463">
        <f t="shared" si="123"/>
        <v>2.9066190944881887E-2</v>
      </c>
      <c r="AH94" s="153">
        <f t="shared" si="124"/>
        <v>0.34936677411732059</v>
      </c>
      <c r="AI94" s="153">
        <f t="shared" si="125"/>
        <v>0.70639370078740171</v>
      </c>
      <c r="AJ94" s="153">
        <f t="shared" si="126"/>
        <v>1.612143482064742</v>
      </c>
      <c r="AL94" s="317">
        <f t="shared" si="127"/>
        <v>89.000000000000014</v>
      </c>
      <c r="AM94" s="147">
        <f t="shared" si="128"/>
        <v>95.125094010415921</v>
      </c>
      <c r="AO94">
        <f t="shared" si="159"/>
        <v>89.000000000000014</v>
      </c>
      <c r="AP94">
        <f t="shared" si="129"/>
        <v>95.125094010415921</v>
      </c>
      <c r="AR94" s="5">
        <f t="shared" si="160"/>
        <v>10.512473184946371</v>
      </c>
      <c r="AS94" s="5">
        <f t="shared" si="130"/>
        <v>5.2979527559055128</v>
      </c>
      <c r="AT94" s="5">
        <f t="shared" si="161"/>
        <v>5.2145204290408582</v>
      </c>
      <c r="AU94" s="153">
        <f t="shared" si="162"/>
        <v>0.50396825396825407</v>
      </c>
      <c r="AW94" s="5">
        <f t="shared" si="131"/>
        <v>1.7236920000000002</v>
      </c>
      <c r="AX94" s="5">
        <f t="shared" si="132"/>
        <v>13.920364331999998</v>
      </c>
      <c r="AY94" s="5">
        <f t="shared" si="133"/>
        <v>1.7372910952321905</v>
      </c>
      <c r="AZ94" s="5">
        <f t="shared" si="134"/>
        <v>10.186060192970313</v>
      </c>
      <c r="BA94" s="5">
        <f t="shared" si="135"/>
        <v>0.92818463636927284</v>
      </c>
      <c r="BB94" s="147">
        <f t="shared" si="136"/>
        <v>93.352463636927297</v>
      </c>
      <c r="BC94" s="5"/>
      <c r="BD94" s="153">
        <f t="shared" si="163"/>
        <v>0.28952614014415295</v>
      </c>
      <c r="BE94" s="153">
        <f t="shared" si="137"/>
        <v>0.28723736005367068</v>
      </c>
      <c r="BF94" s="153">
        <f t="shared" si="138"/>
        <v>0.28611093903385237</v>
      </c>
      <c r="BG94" s="153"/>
      <c r="BH94" s="463">
        <f t="shared" si="139"/>
        <v>2.9338885039370093E-2</v>
      </c>
      <c r="BI94" s="463">
        <f t="shared" si="140"/>
        <v>1.3546666666666667E-2</v>
      </c>
      <c r="BJ94" s="463">
        <f t="shared" si="141"/>
        <v>1.1890636751301989E-3</v>
      </c>
      <c r="BK94" s="463">
        <f t="shared" si="142"/>
        <v>7.7322546816479413E-3</v>
      </c>
      <c r="BL94">
        <f t="shared" si="143"/>
        <v>5.7999999999999996E-3</v>
      </c>
      <c r="BM94">
        <f t="shared" si="144"/>
        <v>3.5671910253905968E-6</v>
      </c>
      <c r="BN94">
        <f t="shared" si="145"/>
        <v>6.1906286969208663E-2</v>
      </c>
      <c r="BO94" s="147">
        <f t="shared" si="164"/>
        <v>61.906286969208665</v>
      </c>
      <c r="BP94" s="153">
        <f t="shared" si="146"/>
        <v>9.7032049972099979E-2</v>
      </c>
      <c r="BQ94" s="153">
        <f t="shared" si="147"/>
        <v>9.653863464821226E-2</v>
      </c>
      <c r="BR94" s="463"/>
      <c r="BT94" s="147">
        <f t="shared" si="165"/>
        <v>193.57068462031225</v>
      </c>
      <c r="BU94" s="463">
        <f t="shared" si="148"/>
        <v>6.7060308661417364E-2</v>
      </c>
      <c r="BV94" s="463">
        <f t="shared" si="149"/>
        <v>6.5674219604439241E-2</v>
      </c>
      <c r="BW94" s="463">
        <f t="shared" si="150"/>
        <v>4.0929734717416394E-3</v>
      </c>
      <c r="BX94" s="463">
        <f t="shared" si="151"/>
        <v>0</v>
      </c>
      <c r="BY94" s="463">
        <f t="shared" si="152"/>
        <v>0.15494283725278477</v>
      </c>
      <c r="BZ94" s="463">
        <f t="shared" si="166"/>
        <v>0.13682750173759825</v>
      </c>
      <c r="CA94" s="549">
        <f t="shared" si="153"/>
        <v>7.1200000000000027E-2</v>
      </c>
      <c r="CB94" s="147">
        <f t="shared" si="167"/>
        <v>226.14283725278477</v>
      </c>
      <c r="CC94" s="153">
        <f t="shared" si="168"/>
        <v>0.48161980884230571</v>
      </c>
      <c r="CD94" s="5">
        <f t="shared" si="169"/>
        <v>3.2040000000000006</v>
      </c>
      <c r="CE94" s="153">
        <f t="shared" si="170"/>
        <v>0.869324609204988</v>
      </c>
      <c r="CF94" s="5">
        <f t="shared" si="171"/>
        <v>86.932460920498798</v>
      </c>
      <c r="CG94">
        <f t="shared" si="172"/>
        <v>89</v>
      </c>
      <c r="CI94" s="59">
        <f t="shared" si="154"/>
        <v>-50</v>
      </c>
      <c r="CJ94">
        <f t="shared" si="155"/>
        <v>-50</v>
      </c>
    </row>
    <row r="95" spans="5:88" x14ac:dyDescent="0.25">
      <c r="E95" s="150">
        <v>90</v>
      </c>
      <c r="F95" s="191">
        <f t="shared" si="173"/>
        <v>9.0000000000000011E-2</v>
      </c>
      <c r="G95" s="191">
        <f t="shared" si="156"/>
        <v>9.0000000000000011E-2</v>
      </c>
      <c r="H95" s="191">
        <f t="shared" si="105"/>
        <v>1.8000000000000003</v>
      </c>
      <c r="I95" s="191">
        <f t="shared" si="174"/>
        <v>1.4400000000000002</v>
      </c>
      <c r="J95" s="472">
        <f t="shared" si="106"/>
        <v>20</v>
      </c>
      <c r="K95" s="386">
        <f t="shared" si="107"/>
        <v>20.32</v>
      </c>
      <c r="L95" s="386">
        <f t="shared" si="108"/>
        <v>40.32</v>
      </c>
      <c r="M95" s="386"/>
      <c r="N95" s="191">
        <f t="shared" si="109"/>
        <v>0.50396825396825395</v>
      </c>
      <c r="O95" s="152">
        <f t="shared" si="157"/>
        <v>1.8898809523809523</v>
      </c>
      <c r="P95" s="152">
        <f t="shared" si="110"/>
        <v>2.7214285714285715</v>
      </c>
      <c r="Q95" s="191">
        <f t="shared" si="111"/>
        <v>9.4494047619047616E-2</v>
      </c>
      <c r="R95" s="191">
        <f t="shared" si="112"/>
        <v>0.11811755952380952</v>
      </c>
      <c r="S95" s="386">
        <f t="shared" si="113"/>
        <v>20</v>
      </c>
      <c r="T95" s="191">
        <f t="shared" si="114"/>
        <v>0.71433070866141735</v>
      </c>
      <c r="U95" s="191">
        <f t="shared" si="115"/>
        <v>5.3574803149606298</v>
      </c>
      <c r="V95" s="191">
        <f t="shared" si="116"/>
        <v>5.2731105462210923</v>
      </c>
      <c r="W95" s="175">
        <f t="shared" si="117"/>
        <v>350</v>
      </c>
      <c r="X95" s="386">
        <f t="shared" si="158"/>
        <v>94.068148521411302</v>
      </c>
      <c r="Z95" s="191">
        <f t="shared" si="118"/>
        <v>0.19198790627362058</v>
      </c>
      <c r="AA95" s="153">
        <f t="shared" si="119"/>
        <v>1.4172335600907029</v>
      </c>
      <c r="AB95" s="153">
        <f t="shared" si="120"/>
        <v>4.7616048182941621E-2</v>
      </c>
      <c r="AC95" s="153"/>
      <c r="AD95" s="153">
        <f t="shared" si="121"/>
        <v>1.1072834645669289</v>
      </c>
      <c r="AE95" s="317">
        <f t="shared" si="122"/>
        <v>1083.7333333333336</v>
      </c>
      <c r="AF95" s="463">
        <f t="shared" si="123"/>
        <v>2.9066190944881887E-2</v>
      </c>
      <c r="AH95" s="153">
        <f t="shared" si="124"/>
        <v>0.35132402626147197</v>
      </c>
      <c r="AI95" s="153">
        <f t="shared" si="125"/>
        <v>0.71433070866141735</v>
      </c>
      <c r="AJ95" s="153">
        <f t="shared" si="126"/>
        <v>1.6180227471566053</v>
      </c>
      <c r="AL95" s="317">
        <f t="shared" si="127"/>
        <v>90.000000000000014</v>
      </c>
      <c r="AM95" s="147">
        <f t="shared" si="128"/>
        <v>94.068148521411302</v>
      </c>
      <c r="AO95">
        <f t="shared" si="159"/>
        <v>90.000000000000014</v>
      </c>
      <c r="AP95">
        <f t="shared" si="129"/>
        <v>94.068148521411302</v>
      </c>
      <c r="AR95" s="5">
        <f t="shared" si="160"/>
        <v>10.630590861181723</v>
      </c>
      <c r="AS95" s="5">
        <f t="shared" si="130"/>
        <v>5.3574803149606298</v>
      </c>
      <c r="AT95" s="5">
        <f t="shared" si="161"/>
        <v>5.2731105462210932</v>
      </c>
      <c r="AU95" s="153">
        <f t="shared" si="162"/>
        <v>0.50396825396825395</v>
      </c>
      <c r="AW95" s="5">
        <f t="shared" si="131"/>
        <v>1.7236920000000002</v>
      </c>
      <c r="AX95" s="5">
        <f t="shared" si="132"/>
        <v>14.2319052</v>
      </c>
      <c r="AY95" s="5">
        <f t="shared" si="133"/>
        <v>1.7372910952321905</v>
      </c>
      <c r="AZ95" s="5">
        <f t="shared" si="134"/>
        <v>10.414223906458721</v>
      </c>
      <c r="BA95" s="5">
        <f t="shared" si="135"/>
        <v>0.94915989831979675</v>
      </c>
      <c r="BB95" s="147">
        <f t="shared" si="136"/>
        <v>95.455989831979664</v>
      </c>
      <c r="BC95" s="5"/>
      <c r="BD95" s="153">
        <f t="shared" si="163"/>
        <v>0.29277924284240181</v>
      </c>
      <c r="BE95" s="153">
        <f t="shared" si="137"/>
        <v>0.29046474612168943</v>
      </c>
      <c r="BF95" s="153">
        <f t="shared" si="138"/>
        <v>0.28932566868591808</v>
      </c>
      <c r="BG95" s="153"/>
      <c r="BH95" s="463">
        <f t="shared" si="139"/>
        <v>3.000188976377953E-2</v>
      </c>
      <c r="BI95" s="463">
        <f t="shared" si="140"/>
        <v>1.3546666666666667E-2</v>
      </c>
      <c r="BJ95" s="463">
        <f t="shared" si="141"/>
        <v>1.1758518565176412E-3</v>
      </c>
      <c r="BK95" s="463">
        <f t="shared" si="142"/>
        <v>7.6463407407407419E-3</v>
      </c>
      <c r="BL95">
        <f t="shared" si="143"/>
        <v>5.7999999999999996E-3</v>
      </c>
      <c r="BM95">
        <f t="shared" si="144"/>
        <v>3.5275555695529236E-6</v>
      </c>
      <c r="BN95">
        <f t="shared" si="145"/>
        <v>6.2570883356817222E-2</v>
      </c>
      <c r="BO95" s="147">
        <f t="shared" si="164"/>
        <v>62.57088335681722</v>
      </c>
      <c r="BP95" s="153">
        <f t="shared" si="146"/>
        <v>9.8838503317006665E-2</v>
      </c>
      <c r="BQ95" s="153">
        <f t="shared" si="147"/>
        <v>9.8333937716263004E-2</v>
      </c>
      <c r="BR95" s="463"/>
      <c r="BT95" s="147">
        <f t="shared" si="165"/>
        <v>197.17244103326968</v>
      </c>
      <c r="BU95" s="463">
        <f t="shared" si="148"/>
        <v>6.8575748031496075E-2</v>
      </c>
      <c r="BV95" s="463">
        <f t="shared" si="149"/>
        <v>6.7158335916671849E-2</v>
      </c>
      <c r="BW95" s="463">
        <f t="shared" si="150"/>
        <v>4.1854671280276822E-3</v>
      </c>
      <c r="BX95" s="463">
        <f t="shared" si="151"/>
        <v>0</v>
      </c>
      <c r="BY95" s="463">
        <f t="shared" si="152"/>
        <v>0.15848389686147216</v>
      </c>
      <c r="BZ95" s="463">
        <f t="shared" si="166"/>
        <v>0.13991955107619561</v>
      </c>
      <c r="CA95" s="549">
        <f t="shared" si="153"/>
        <v>7.2000000000000008E-2</v>
      </c>
      <c r="CB95" s="147">
        <f t="shared" si="167"/>
        <v>230.48389686147218</v>
      </c>
      <c r="CC95" s="153">
        <f t="shared" si="168"/>
        <v>0.49022722125155899</v>
      </c>
      <c r="CD95" s="5">
        <f t="shared" si="169"/>
        <v>3.24</v>
      </c>
      <c r="CE95" s="153">
        <f t="shared" si="170"/>
        <v>0.86857979630337945</v>
      </c>
      <c r="CF95" s="5">
        <f t="shared" si="171"/>
        <v>86.857979630337951</v>
      </c>
      <c r="CG95">
        <f t="shared" si="172"/>
        <v>90</v>
      </c>
      <c r="CI95" s="59">
        <f t="shared" si="154"/>
        <v>-50</v>
      </c>
      <c r="CJ95">
        <f t="shared" si="155"/>
        <v>-50</v>
      </c>
    </row>
    <row r="96" spans="5:88" x14ac:dyDescent="0.25">
      <c r="E96" s="150">
        <v>91</v>
      </c>
      <c r="F96" s="191">
        <f t="shared" si="173"/>
        <v>9.1000000000000011E-2</v>
      </c>
      <c r="G96" s="191">
        <f t="shared" si="156"/>
        <v>9.1000000000000011E-2</v>
      </c>
      <c r="H96" s="191">
        <f t="shared" si="105"/>
        <v>1.8200000000000003</v>
      </c>
      <c r="I96" s="191">
        <f t="shared" si="174"/>
        <v>1.4560000000000002</v>
      </c>
      <c r="J96" s="472">
        <f t="shared" si="106"/>
        <v>20</v>
      </c>
      <c r="K96" s="386">
        <f t="shared" si="107"/>
        <v>20.32</v>
      </c>
      <c r="L96" s="386">
        <f t="shared" si="108"/>
        <v>40.32</v>
      </c>
      <c r="M96" s="386"/>
      <c r="N96" s="191">
        <f t="shared" si="109"/>
        <v>0.50396825396825395</v>
      </c>
      <c r="O96" s="152">
        <f t="shared" si="157"/>
        <v>1.8898809523809523</v>
      </c>
      <c r="P96" s="152">
        <f t="shared" si="110"/>
        <v>2.7214285714285715</v>
      </c>
      <c r="Q96" s="191">
        <f t="shared" si="111"/>
        <v>9.4494047619047616E-2</v>
      </c>
      <c r="R96" s="191">
        <f t="shared" si="112"/>
        <v>0.11811755952380952</v>
      </c>
      <c r="S96" s="386">
        <f t="shared" si="113"/>
        <v>20</v>
      </c>
      <c r="T96" s="191">
        <f t="shared" si="114"/>
        <v>0.7222677165354332</v>
      </c>
      <c r="U96" s="191">
        <f t="shared" si="115"/>
        <v>5.4170078740157486</v>
      </c>
      <c r="V96" s="191">
        <f t="shared" si="116"/>
        <v>5.3317006634013273</v>
      </c>
      <c r="W96" s="175">
        <f t="shared" si="117"/>
        <v>350</v>
      </c>
      <c r="X96" s="386">
        <f t="shared" si="158"/>
        <v>93.034432603593572</v>
      </c>
      <c r="Z96" s="191">
        <f t="shared" si="118"/>
        <v>0.19198790627362058</v>
      </c>
      <c r="AA96" s="153">
        <f t="shared" si="119"/>
        <v>1.4172335600907029</v>
      </c>
      <c r="AB96" s="153">
        <f t="shared" si="120"/>
        <v>4.7616048182941621E-2</v>
      </c>
      <c r="AC96" s="153"/>
      <c r="AD96" s="153">
        <f t="shared" si="121"/>
        <v>1.1072834645669289</v>
      </c>
      <c r="AE96" s="317">
        <f t="shared" si="122"/>
        <v>1095.774814814815</v>
      </c>
      <c r="AF96" s="463">
        <f t="shared" si="123"/>
        <v>2.9066190944881887E-2</v>
      </c>
      <c r="AH96" s="153">
        <f t="shared" si="124"/>
        <v>0.35327043465311392</v>
      </c>
      <c r="AI96" s="153">
        <f t="shared" si="125"/>
        <v>0.7222677165354332</v>
      </c>
      <c r="AJ96" s="153">
        <f t="shared" si="126"/>
        <v>1.6239020122484691</v>
      </c>
      <c r="AL96" s="317">
        <f t="shared" si="127"/>
        <v>91.000000000000014</v>
      </c>
      <c r="AM96" s="147">
        <f t="shared" si="128"/>
        <v>93.034432603593572</v>
      </c>
      <c r="AO96">
        <f t="shared" si="159"/>
        <v>91.000000000000014</v>
      </c>
      <c r="AP96">
        <f t="shared" si="129"/>
        <v>93.034432603593572</v>
      </c>
      <c r="AR96" s="5">
        <f t="shared" si="160"/>
        <v>10.748708537417079</v>
      </c>
      <c r="AS96" s="5">
        <f t="shared" si="130"/>
        <v>5.4170078740157486</v>
      </c>
      <c r="AT96" s="5">
        <f t="shared" si="161"/>
        <v>5.33170066340133</v>
      </c>
      <c r="AU96" s="153">
        <f t="shared" si="162"/>
        <v>0.50396825396825384</v>
      </c>
      <c r="AW96" s="5">
        <f t="shared" si="131"/>
        <v>1.7236920000000002</v>
      </c>
      <c r="AX96" s="5">
        <f t="shared" si="132"/>
        <v>14.546893452000003</v>
      </c>
      <c r="AY96" s="5">
        <f t="shared" si="133"/>
        <v>1.7372910952321905</v>
      </c>
      <c r="AZ96" s="5">
        <f t="shared" si="134"/>
        <v>10.644914588812926</v>
      </c>
      <c r="BA96" s="5">
        <f t="shared" si="135"/>
        <v>0.97036952073904215</v>
      </c>
      <c r="BB96" s="147">
        <f t="shared" si="136"/>
        <v>97.58295207390421</v>
      </c>
      <c r="BC96" s="5"/>
      <c r="BD96" s="153">
        <f t="shared" si="163"/>
        <v>0.29603234554065072</v>
      </c>
      <c r="BE96" s="153">
        <f t="shared" si="137"/>
        <v>0.29369213218970824</v>
      </c>
      <c r="BF96" s="153">
        <f t="shared" si="138"/>
        <v>0.2925403983379839</v>
      </c>
      <c r="BG96" s="153"/>
      <c r="BH96" s="463">
        <f t="shared" si="139"/>
        <v>3.0672302362204727E-2</v>
      </c>
      <c r="BI96" s="463">
        <f t="shared" si="140"/>
        <v>1.3546666666666665E-2</v>
      </c>
      <c r="BJ96" s="463">
        <f t="shared" si="141"/>
        <v>1.1629304075449196E-3</v>
      </c>
      <c r="BK96" s="463">
        <f t="shared" si="142"/>
        <v>7.562315018315017E-3</v>
      </c>
      <c r="BL96">
        <f t="shared" si="143"/>
        <v>5.7999999999999996E-3</v>
      </c>
      <c r="BM96">
        <f t="shared" si="144"/>
        <v>3.488791222634759E-6</v>
      </c>
      <c r="BN96">
        <f t="shared" si="145"/>
        <v>6.3246377833319795E-2</v>
      </c>
      <c r="BO96" s="147">
        <f t="shared" si="164"/>
        <v>63.246377833319798</v>
      </c>
      <c r="BP96" s="153">
        <f t="shared" si="146"/>
        <v>0.10066087234174471</v>
      </c>
      <c r="BQ96" s="153">
        <f t="shared" si="147"/>
        <v>0.10014503188004618</v>
      </c>
      <c r="BR96" s="463"/>
      <c r="BT96" s="147">
        <f t="shared" si="165"/>
        <v>200.80590422179091</v>
      </c>
      <c r="BU96" s="463">
        <f t="shared" si="148"/>
        <v>7.0108119685039383E-2</v>
      </c>
      <c r="BV96" s="463">
        <f t="shared" si="149"/>
        <v>6.8659034534069102E-2</v>
      </c>
      <c r="BW96" s="463">
        <f t="shared" si="150"/>
        <v>4.2789942329873147E-3</v>
      </c>
      <c r="BX96" s="463">
        <f t="shared" si="151"/>
        <v>0</v>
      </c>
      <c r="BY96" s="463">
        <f t="shared" si="152"/>
        <v>0.16206632333408594</v>
      </c>
      <c r="BZ96" s="463">
        <f t="shared" si="166"/>
        <v>0.14304614845209579</v>
      </c>
      <c r="CA96" s="549">
        <f t="shared" si="153"/>
        <v>7.2800000000000004E-2</v>
      </c>
      <c r="CB96" s="147">
        <f t="shared" si="167"/>
        <v>234.86632333408593</v>
      </c>
      <c r="CC96" s="153">
        <f t="shared" si="168"/>
        <v>0.49891860538919663</v>
      </c>
      <c r="CD96" s="5">
        <f t="shared" si="169"/>
        <v>3.2760000000000007</v>
      </c>
      <c r="CE96" s="153">
        <f t="shared" si="170"/>
        <v>0.86783328131183435</v>
      </c>
      <c r="CF96" s="5">
        <f t="shared" si="171"/>
        <v>86.783328131183438</v>
      </c>
      <c r="CG96">
        <f t="shared" si="172"/>
        <v>91</v>
      </c>
      <c r="CI96" s="59">
        <f t="shared" si="154"/>
        <v>-50</v>
      </c>
      <c r="CJ96">
        <f t="shared" si="155"/>
        <v>-50</v>
      </c>
    </row>
    <row r="97" spans="5:88" x14ac:dyDescent="0.25">
      <c r="E97" s="150">
        <v>92</v>
      </c>
      <c r="F97" s="191">
        <f t="shared" si="173"/>
        <v>9.2000000000000012E-2</v>
      </c>
      <c r="G97" s="191">
        <f t="shared" si="156"/>
        <v>9.2000000000000012E-2</v>
      </c>
      <c r="H97" s="191">
        <f t="shared" si="105"/>
        <v>1.8400000000000003</v>
      </c>
      <c r="I97" s="191">
        <f t="shared" si="174"/>
        <v>1.4720000000000002</v>
      </c>
      <c r="J97" s="472">
        <f t="shared" si="106"/>
        <v>20</v>
      </c>
      <c r="K97" s="386">
        <f t="shared" si="107"/>
        <v>20.32</v>
      </c>
      <c r="L97" s="386">
        <f t="shared" si="108"/>
        <v>40.32</v>
      </c>
      <c r="M97" s="386"/>
      <c r="N97" s="191">
        <f t="shared" si="109"/>
        <v>0.50396825396825395</v>
      </c>
      <c r="O97" s="152">
        <f t="shared" si="157"/>
        <v>1.8898809523809523</v>
      </c>
      <c r="P97" s="152">
        <f t="shared" si="110"/>
        <v>2.7214285714285715</v>
      </c>
      <c r="Q97" s="191">
        <f t="shared" si="111"/>
        <v>9.4494047619047616E-2</v>
      </c>
      <c r="R97" s="191">
        <f t="shared" si="112"/>
        <v>0.11811755952380952</v>
      </c>
      <c r="S97" s="386">
        <f t="shared" si="113"/>
        <v>20</v>
      </c>
      <c r="T97" s="191">
        <f t="shared" si="114"/>
        <v>0.73020472440944895</v>
      </c>
      <c r="U97" s="191">
        <f t="shared" si="115"/>
        <v>5.4765354330708673</v>
      </c>
      <c r="V97" s="191">
        <f t="shared" si="116"/>
        <v>5.3902907805815614</v>
      </c>
      <c r="W97" s="175">
        <f t="shared" si="117"/>
        <v>350</v>
      </c>
      <c r="X97" s="386">
        <f t="shared" si="158"/>
        <v>92.023188770945822</v>
      </c>
      <c r="Z97" s="191">
        <f t="shared" si="118"/>
        <v>0.19198790627362058</v>
      </c>
      <c r="AA97" s="153">
        <f t="shared" si="119"/>
        <v>1.4172335600907029</v>
      </c>
      <c r="AB97" s="153">
        <f t="shared" si="120"/>
        <v>4.7616048182941621E-2</v>
      </c>
      <c r="AC97" s="153"/>
      <c r="AD97" s="153">
        <f t="shared" si="121"/>
        <v>1.1072834645669289</v>
      </c>
      <c r="AE97" s="317">
        <f t="shared" si="122"/>
        <v>1107.8162962962967</v>
      </c>
      <c r="AF97" s="463">
        <f t="shared" si="123"/>
        <v>2.9066190944881887E-2</v>
      </c>
      <c r="AH97" s="153">
        <f t="shared" si="124"/>
        <v>0.35520617755245842</v>
      </c>
      <c r="AI97" s="153">
        <f t="shared" si="125"/>
        <v>0.73020472440944895</v>
      </c>
      <c r="AJ97" s="153">
        <f t="shared" si="126"/>
        <v>1.6297812773403324</v>
      </c>
      <c r="AL97" s="317">
        <f t="shared" si="127"/>
        <v>92.000000000000014</v>
      </c>
      <c r="AM97" s="147">
        <f t="shared" si="128"/>
        <v>92.023188770945822</v>
      </c>
      <c r="AO97">
        <f t="shared" si="159"/>
        <v>92.000000000000014</v>
      </c>
      <c r="AP97">
        <f t="shared" si="129"/>
        <v>92.023188770945822</v>
      </c>
      <c r="AR97" s="5">
        <f t="shared" si="160"/>
        <v>10.866826213652431</v>
      </c>
      <c r="AS97" s="5">
        <f t="shared" si="130"/>
        <v>5.4765354330708673</v>
      </c>
      <c r="AT97" s="5">
        <f t="shared" si="161"/>
        <v>5.3902907805815632</v>
      </c>
      <c r="AU97" s="153">
        <f t="shared" si="162"/>
        <v>0.50396825396825395</v>
      </c>
      <c r="AW97" s="5">
        <f t="shared" si="131"/>
        <v>1.7236920000000002</v>
      </c>
      <c r="AX97" s="5">
        <f t="shared" si="132"/>
        <v>14.865329088000003</v>
      </c>
      <c r="AY97" s="5">
        <f t="shared" si="133"/>
        <v>1.7372910952321905</v>
      </c>
      <c r="AZ97" s="5">
        <f t="shared" si="134"/>
        <v>10.878132240032917</v>
      </c>
      <c r="BA97" s="5">
        <f t="shared" si="135"/>
        <v>0.9918135036270076</v>
      </c>
      <c r="BB97" s="147">
        <f t="shared" si="136"/>
        <v>99.733350362700776</v>
      </c>
      <c r="BC97" s="5"/>
      <c r="BD97" s="153">
        <f t="shared" si="163"/>
        <v>0.29928544823889969</v>
      </c>
      <c r="BE97" s="153">
        <f t="shared" si="137"/>
        <v>0.296919518257727</v>
      </c>
      <c r="BF97" s="153">
        <f t="shared" si="138"/>
        <v>0.29575512799004966</v>
      </c>
      <c r="BG97" s="153"/>
      <c r="BH97" s="463">
        <f t="shared" si="139"/>
        <v>3.135012283464568E-2</v>
      </c>
      <c r="BI97" s="463">
        <f t="shared" si="140"/>
        <v>1.3546666666666665E-2</v>
      </c>
      <c r="BJ97" s="463">
        <f t="shared" si="141"/>
        <v>1.1502898596368227E-3</v>
      </c>
      <c r="BK97" s="463">
        <f t="shared" si="142"/>
        <v>7.4801159420289851E-3</v>
      </c>
      <c r="BL97">
        <f t="shared" si="143"/>
        <v>5.7999999999999996E-3</v>
      </c>
      <c r="BM97">
        <f t="shared" si="144"/>
        <v>3.4508695789104683E-6</v>
      </c>
      <c r="BN97">
        <f t="shared" si="145"/>
        <v>6.3932705769262993E-2</v>
      </c>
      <c r="BO97" s="147">
        <f t="shared" si="164"/>
        <v>63.932705769262995</v>
      </c>
      <c r="BP97" s="153">
        <f t="shared" si="146"/>
        <v>0.10249915704631411</v>
      </c>
      <c r="BQ97" s="153">
        <f t="shared" si="147"/>
        <v>0.10197191713956176</v>
      </c>
      <c r="BR97" s="463"/>
      <c r="BT97" s="147">
        <f t="shared" si="165"/>
        <v>204.47107418587586</v>
      </c>
      <c r="BU97" s="463">
        <f t="shared" si="148"/>
        <v>7.1657423622047287E-2</v>
      </c>
      <c r="BV97" s="463">
        <f t="shared" si="149"/>
        <v>7.0176315456630944E-2</v>
      </c>
      <c r="BW97" s="463">
        <f t="shared" si="150"/>
        <v>4.3735547866205335E-3</v>
      </c>
      <c r="BX97" s="463">
        <f t="shared" si="151"/>
        <v>0</v>
      </c>
      <c r="BY97" s="463">
        <f t="shared" si="152"/>
        <v>0.16569017813434112</v>
      </c>
      <c r="BZ97" s="463">
        <f t="shared" si="166"/>
        <v>0.14620729386529877</v>
      </c>
      <c r="CA97" s="549">
        <f t="shared" si="153"/>
        <v>7.3600000000000013E-2</v>
      </c>
      <c r="CB97" s="147">
        <f t="shared" si="167"/>
        <v>239.29017813434112</v>
      </c>
      <c r="CC97" s="153">
        <f t="shared" si="168"/>
        <v>0.50769395808948004</v>
      </c>
      <c r="CD97" s="5">
        <f t="shared" si="169"/>
        <v>3.3120000000000003</v>
      </c>
      <c r="CE97" s="153">
        <f t="shared" si="170"/>
        <v>0.86708517392754247</v>
      </c>
      <c r="CF97" s="5">
        <f t="shared" si="171"/>
        <v>86.708517392754246</v>
      </c>
      <c r="CG97">
        <f t="shared" si="172"/>
        <v>92</v>
      </c>
      <c r="CI97" s="59">
        <f t="shared" si="154"/>
        <v>-50</v>
      </c>
      <c r="CJ97">
        <f t="shared" si="155"/>
        <v>-50</v>
      </c>
    </row>
    <row r="98" spans="5:88" x14ac:dyDescent="0.25">
      <c r="E98" s="150">
        <v>93</v>
      </c>
      <c r="F98" s="191">
        <f t="shared" si="173"/>
        <v>9.3000000000000013E-2</v>
      </c>
      <c r="G98" s="191">
        <f t="shared" si="156"/>
        <v>9.3000000000000013E-2</v>
      </c>
      <c r="H98" s="191">
        <f t="shared" si="105"/>
        <v>1.8600000000000003</v>
      </c>
      <c r="I98" s="191">
        <f t="shared" si="174"/>
        <v>1.4880000000000002</v>
      </c>
      <c r="J98" s="472">
        <f t="shared" si="106"/>
        <v>20</v>
      </c>
      <c r="K98" s="386">
        <f t="shared" si="107"/>
        <v>20.32</v>
      </c>
      <c r="L98" s="386">
        <f t="shared" si="108"/>
        <v>40.32</v>
      </c>
      <c r="M98" s="386"/>
      <c r="N98" s="191">
        <f t="shared" si="109"/>
        <v>0.50396825396825395</v>
      </c>
      <c r="O98" s="152">
        <f t="shared" si="157"/>
        <v>1.8898809523809523</v>
      </c>
      <c r="P98" s="152">
        <f t="shared" si="110"/>
        <v>2.7214285714285715</v>
      </c>
      <c r="Q98" s="191">
        <f t="shared" si="111"/>
        <v>9.4494047619047616E-2</v>
      </c>
      <c r="R98" s="191">
        <f t="shared" si="112"/>
        <v>0.11811755952380952</v>
      </c>
      <c r="S98" s="386">
        <f t="shared" si="113"/>
        <v>20</v>
      </c>
      <c r="T98" s="191">
        <f t="shared" si="114"/>
        <v>0.7381417322834648</v>
      </c>
      <c r="U98" s="191">
        <f t="shared" si="115"/>
        <v>5.5360629921259852</v>
      </c>
      <c r="V98" s="191">
        <f t="shared" si="116"/>
        <v>5.4488808977617964</v>
      </c>
      <c r="W98" s="175">
        <f t="shared" si="117"/>
        <v>350</v>
      </c>
      <c r="X98" s="386">
        <f t="shared" si="158"/>
        <v>91.033692117494809</v>
      </c>
      <c r="Z98" s="191">
        <f t="shared" si="118"/>
        <v>0.19198790627362058</v>
      </c>
      <c r="AA98" s="153">
        <f t="shared" si="119"/>
        <v>1.4172335600907029</v>
      </c>
      <c r="AB98" s="153">
        <f t="shared" si="120"/>
        <v>4.7616048182941621E-2</v>
      </c>
      <c r="AC98" s="153"/>
      <c r="AD98" s="153">
        <f t="shared" si="121"/>
        <v>1.1072834645669289</v>
      </c>
      <c r="AE98" s="317">
        <f t="shared" si="122"/>
        <v>1119.857777777778</v>
      </c>
      <c r="AF98" s="463">
        <f t="shared" si="123"/>
        <v>2.9066190944881887E-2</v>
      </c>
      <c r="AH98" s="153">
        <f t="shared" si="124"/>
        <v>0.35713142838856565</v>
      </c>
      <c r="AI98" s="153">
        <f t="shared" si="125"/>
        <v>0.7381417322834648</v>
      </c>
      <c r="AJ98" s="153">
        <f t="shared" si="126"/>
        <v>1.6356605424321962</v>
      </c>
      <c r="AL98" s="317">
        <f t="shared" si="127"/>
        <v>93.000000000000014</v>
      </c>
      <c r="AM98" s="147">
        <f t="shared" si="128"/>
        <v>91.033692117494809</v>
      </c>
      <c r="AO98">
        <f t="shared" si="159"/>
        <v>93.000000000000014</v>
      </c>
      <c r="AP98">
        <f t="shared" si="129"/>
        <v>91.033692117494809</v>
      </c>
      <c r="AR98" s="5">
        <f t="shared" si="160"/>
        <v>10.984943889887781</v>
      </c>
      <c r="AS98" s="5">
        <f t="shared" si="130"/>
        <v>5.5360629921259852</v>
      </c>
      <c r="AT98" s="5">
        <f t="shared" si="161"/>
        <v>5.4488808977617955</v>
      </c>
      <c r="AU98" s="153">
        <f t="shared" si="162"/>
        <v>0.50396825396825407</v>
      </c>
      <c r="AW98" s="5">
        <f t="shared" si="131"/>
        <v>1.7236920000000002</v>
      </c>
      <c r="AX98" s="5">
        <f t="shared" si="132"/>
        <v>15.187212108000001</v>
      </c>
      <c r="AY98" s="5">
        <f t="shared" si="133"/>
        <v>1.7372910952321905</v>
      </c>
      <c r="AZ98" s="5">
        <f t="shared" si="134"/>
        <v>11.113876860118703</v>
      </c>
      <c r="BA98" s="5">
        <f t="shared" si="135"/>
        <v>1.0134918469836942</v>
      </c>
      <c r="BB98" s="147">
        <f t="shared" si="136"/>
        <v>101.90718469836943</v>
      </c>
      <c r="BC98" s="5"/>
      <c r="BD98" s="153">
        <f t="shared" si="163"/>
        <v>0.3025385509371486</v>
      </c>
      <c r="BE98" s="153">
        <f t="shared" si="137"/>
        <v>0.30014690432574581</v>
      </c>
      <c r="BF98" s="153">
        <f t="shared" si="138"/>
        <v>0.29896985764211542</v>
      </c>
      <c r="BG98" s="153"/>
      <c r="BH98" s="463">
        <f t="shared" si="139"/>
        <v>3.203535118110238E-2</v>
      </c>
      <c r="BI98" s="463">
        <f t="shared" si="140"/>
        <v>1.354666666666667E-2</v>
      </c>
      <c r="BJ98" s="463">
        <f t="shared" si="141"/>
        <v>1.1379211514686851E-3</v>
      </c>
      <c r="BK98" s="463">
        <f t="shared" si="142"/>
        <v>7.3996845878136208E-3</v>
      </c>
      <c r="BL98">
        <f t="shared" si="143"/>
        <v>5.7999999999999996E-3</v>
      </c>
      <c r="BM98">
        <f t="shared" si="144"/>
        <v>3.4137634544060553E-6</v>
      </c>
      <c r="BN98">
        <f t="shared" si="145"/>
        <v>6.4629805667136858E-2</v>
      </c>
      <c r="BO98" s="147">
        <f t="shared" si="164"/>
        <v>64.629805667136864</v>
      </c>
      <c r="BP98" s="153">
        <f t="shared" si="146"/>
        <v>0.10435335743071492</v>
      </c>
      <c r="BQ98" s="153">
        <f t="shared" si="147"/>
        <v>0.10381459349480972</v>
      </c>
      <c r="BR98" s="463"/>
      <c r="BT98" s="147">
        <f t="shared" si="165"/>
        <v>208.16795092552465</v>
      </c>
      <c r="BU98" s="463">
        <f t="shared" si="148"/>
        <v>7.3223659842519731E-2</v>
      </c>
      <c r="BV98" s="463">
        <f t="shared" si="149"/>
        <v>7.1710178684357417E-2</v>
      </c>
      <c r="BW98" s="463">
        <f t="shared" si="150"/>
        <v>4.4691487889273384E-3</v>
      </c>
      <c r="BX98" s="463">
        <f t="shared" si="151"/>
        <v>0</v>
      </c>
      <c r="BY98" s="463">
        <f t="shared" si="152"/>
        <v>0.1693555234838546</v>
      </c>
      <c r="BZ98" s="463">
        <f t="shared" si="166"/>
        <v>0.14940298731580448</v>
      </c>
      <c r="CA98" s="549">
        <f t="shared" si="153"/>
        <v>7.4400000000000049E-2</v>
      </c>
      <c r="CB98" s="147">
        <f t="shared" si="167"/>
        <v>243.75552348385466</v>
      </c>
      <c r="CC98" s="153">
        <f t="shared" si="168"/>
        <v>0.51655328007651613</v>
      </c>
      <c r="CD98" s="5">
        <f t="shared" si="169"/>
        <v>3.3480000000000008</v>
      </c>
      <c r="CE98" s="153">
        <f t="shared" si="170"/>
        <v>0.86633557810172346</v>
      </c>
      <c r="CF98" s="5">
        <f t="shared" si="171"/>
        <v>86.633557810172348</v>
      </c>
      <c r="CG98">
        <f t="shared" si="172"/>
        <v>93</v>
      </c>
      <c r="CI98" s="59">
        <f t="shared" si="154"/>
        <v>-50</v>
      </c>
      <c r="CJ98">
        <f t="shared" si="155"/>
        <v>-50</v>
      </c>
    </row>
    <row r="99" spans="5:88" x14ac:dyDescent="0.25">
      <c r="E99" s="150">
        <v>94</v>
      </c>
      <c r="F99" s="191">
        <f t="shared" si="173"/>
        <v>9.4E-2</v>
      </c>
      <c r="G99" s="191">
        <f t="shared" si="156"/>
        <v>9.4E-2</v>
      </c>
      <c r="H99" s="191">
        <f t="shared" si="105"/>
        <v>1.88</v>
      </c>
      <c r="I99" s="191">
        <f t="shared" si="174"/>
        <v>1.504</v>
      </c>
      <c r="J99" s="472">
        <f t="shared" si="106"/>
        <v>20</v>
      </c>
      <c r="K99" s="386">
        <f t="shared" si="107"/>
        <v>20.32</v>
      </c>
      <c r="L99" s="386">
        <f t="shared" si="108"/>
        <v>40.32</v>
      </c>
      <c r="M99" s="386"/>
      <c r="N99" s="191">
        <f t="shared" si="109"/>
        <v>0.50396825396825395</v>
      </c>
      <c r="O99" s="152">
        <f t="shared" si="157"/>
        <v>1.8898809523809523</v>
      </c>
      <c r="P99" s="152">
        <f t="shared" si="110"/>
        <v>2.7214285714285715</v>
      </c>
      <c r="Q99" s="191">
        <f t="shared" si="111"/>
        <v>9.4494047619047616E-2</v>
      </c>
      <c r="R99" s="191">
        <f t="shared" si="112"/>
        <v>0.11811755952380952</v>
      </c>
      <c r="S99" s="386">
        <f t="shared" si="113"/>
        <v>20</v>
      </c>
      <c r="T99" s="191">
        <f t="shared" si="114"/>
        <v>0.74607874015748032</v>
      </c>
      <c r="U99" s="191">
        <f t="shared" si="115"/>
        <v>5.5955905511811022</v>
      </c>
      <c r="V99" s="191">
        <f t="shared" si="116"/>
        <v>5.5074710149420287</v>
      </c>
      <c r="W99" s="175">
        <f t="shared" si="117"/>
        <v>350</v>
      </c>
      <c r="X99" s="386">
        <f t="shared" si="158"/>
        <v>90.065248584329993</v>
      </c>
      <c r="Z99" s="191">
        <f t="shared" si="118"/>
        <v>0.19198790627362058</v>
      </c>
      <c r="AA99" s="153">
        <f t="shared" si="119"/>
        <v>1.4172335600907029</v>
      </c>
      <c r="AB99" s="153">
        <f t="shared" si="120"/>
        <v>4.7616048182941621E-2</v>
      </c>
      <c r="AC99" s="153"/>
      <c r="AD99" s="153">
        <f t="shared" si="121"/>
        <v>1.1072834645669289</v>
      </c>
      <c r="AE99" s="317">
        <f t="shared" si="122"/>
        <v>1131.8992592592592</v>
      </c>
      <c r="AF99" s="463">
        <f t="shared" si="123"/>
        <v>2.9066190944881887E-2</v>
      </c>
      <c r="AH99" s="153">
        <f t="shared" si="124"/>
        <v>0.3590463559406859</v>
      </c>
      <c r="AI99" s="153">
        <f t="shared" si="125"/>
        <v>0.74607874015748032</v>
      </c>
      <c r="AJ99" s="153">
        <f t="shared" si="126"/>
        <v>1.6415398075240595</v>
      </c>
      <c r="AL99" s="317">
        <f t="shared" si="127"/>
        <v>94</v>
      </c>
      <c r="AM99" s="147">
        <f t="shared" si="128"/>
        <v>90.065248584329993</v>
      </c>
      <c r="AO99">
        <f t="shared" si="159"/>
        <v>94</v>
      </c>
      <c r="AP99">
        <f t="shared" si="129"/>
        <v>90.065248584329993</v>
      </c>
      <c r="AR99" s="5">
        <f t="shared" si="160"/>
        <v>11.103061566123131</v>
      </c>
      <c r="AS99" s="5">
        <f t="shared" si="130"/>
        <v>5.5955905511811022</v>
      </c>
      <c r="AT99" s="5">
        <f t="shared" si="161"/>
        <v>5.5074710149420287</v>
      </c>
      <c r="AU99" s="153">
        <f t="shared" si="162"/>
        <v>0.50396825396825407</v>
      </c>
      <c r="AW99" s="5">
        <f t="shared" si="131"/>
        <v>1.7236920000000002</v>
      </c>
      <c r="AX99" s="5">
        <f t="shared" si="132"/>
        <v>15.512542511999998</v>
      </c>
      <c r="AY99" s="5">
        <f t="shared" si="133"/>
        <v>1.7372910952321905</v>
      </c>
      <c r="AZ99" s="5">
        <f t="shared" si="134"/>
        <v>11.352148449070276</v>
      </c>
      <c r="BA99" s="5">
        <f t="shared" si="135"/>
        <v>1.0354045508091014</v>
      </c>
      <c r="BB99" s="147">
        <f t="shared" si="136"/>
        <v>104.10445508091011</v>
      </c>
      <c r="BC99" s="5"/>
      <c r="BD99" s="153">
        <f t="shared" si="163"/>
        <v>0.30579165363539745</v>
      </c>
      <c r="BE99" s="153">
        <f t="shared" si="137"/>
        <v>0.30337429039376446</v>
      </c>
      <c r="BF99" s="153">
        <f t="shared" si="138"/>
        <v>0.30218458729418107</v>
      </c>
      <c r="BG99" s="153"/>
      <c r="BH99" s="463">
        <f t="shared" si="139"/>
        <v>3.2727987401574808E-2</v>
      </c>
      <c r="BI99" s="463">
        <f t="shared" si="140"/>
        <v>1.354666666666667E-2</v>
      </c>
      <c r="BJ99" s="463">
        <f t="shared" si="141"/>
        <v>1.1258156073041248E-3</v>
      </c>
      <c r="BK99" s="463">
        <f t="shared" si="142"/>
        <v>7.3209645390070952E-3</v>
      </c>
      <c r="BL99">
        <f t="shared" si="143"/>
        <v>5.7999999999999996E-3</v>
      </c>
      <c r="BM99">
        <f t="shared" si="144"/>
        <v>3.3774468219123747E-6</v>
      </c>
      <c r="BN99">
        <f t="shared" si="145"/>
        <v>6.5337618998918906E-2</v>
      </c>
      <c r="BO99" s="147">
        <f t="shared" si="164"/>
        <v>65.337618998918913</v>
      </c>
      <c r="BP99" s="153">
        <f t="shared" si="146"/>
        <v>0.10622347349494698</v>
      </c>
      <c r="BQ99" s="153">
        <f t="shared" si="147"/>
        <v>0.10567306094579007</v>
      </c>
      <c r="BR99" s="463"/>
      <c r="BT99" s="147">
        <f t="shared" si="165"/>
        <v>211.89653444073704</v>
      </c>
      <c r="BU99" s="463">
        <f t="shared" si="148"/>
        <v>7.4806828346456716E-2</v>
      </c>
      <c r="BV99" s="463">
        <f t="shared" si="149"/>
        <v>7.3260624217248424E-2</v>
      </c>
      <c r="BW99" s="463">
        <f t="shared" si="150"/>
        <v>4.5657762399077271E-3</v>
      </c>
      <c r="BX99" s="463">
        <f t="shared" si="151"/>
        <v>0</v>
      </c>
      <c r="BY99" s="463">
        <f t="shared" si="152"/>
        <v>0.17306242236485622</v>
      </c>
      <c r="BZ99" s="463">
        <f t="shared" si="166"/>
        <v>0.15263322880361285</v>
      </c>
      <c r="CA99" s="549">
        <f t="shared" si="153"/>
        <v>7.5200000000000017E-2</v>
      </c>
      <c r="CB99" s="147">
        <f t="shared" si="167"/>
        <v>248.26242236485623</v>
      </c>
      <c r="CC99" s="153">
        <f t="shared" si="168"/>
        <v>0.52549657580451226</v>
      </c>
      <c r="CD99" s="5">
        <f t="shared" si="169"/>
        <v>3.3839999999999999</v>
      </c>
      <c r="CE99" s="153">
        <f t="shared" si="170"/>
        <v>0.86558459238543428</v>
      </c>
      <c r="CF99" s="5">
        <f t="shared" si="171"/>
        <v>86.558459238543435</v>
      </c>
      <c r="CG99">
        <f t="shared" si="172"/>
        <v>94</v>
      </c>
      <c r="CI99" s="59">
        <f t="shared" si="154"/>
        <v>-50</v>
      </c>
      <c r="CJ99">
        <f t="shared" si="155"/>
        <v>-50</v>
      </c>
    </row>
    <row r="100" spans="5:88" x14ac:dyDescent="0.25">
      <c r="E100" s="150">
        <v>95</v>
      </c>
      <c r="F100" s="191">
        <f t="shared" si="173"/>
        <v>9.5000000000000001E-2</v>
      </c>
      <c r="G100" s="191">
        <f t="shared" si="156"/>
        <v>9.5000000000000001E-2</v>
      </c>
      <c r="H100" s="191">
        <f t="shared" si="105"/>
        <v>1.9</v>
      </c>
      <c r="I100" s="191">
        <f t="shared" si="174"/>
        <v>1.52</v>
      </c>
      <c r="J100" s="472">
        <f t="shared" si="106"/>
        <v>20</v>
      </c>
      <c r="K100" s="386">
        <f t="shared" si="107"/>
        <v>20.213483709273181</v>
      </c>
      <c r="L100" s="386">
        <f t="shared" si="108"/>
        <v>40.32</v>
      </c>
      <c r="M100" s="386"/>
      <c r="N100" s="191">
        <f t="shared" si="109"/>
        <v>0.50396825396825395</v>
      </c>
      <c r="O100" s="152">
        <f t="shared" si="157"/>
        <v>1.8898809523809523</v>
      </c>
      <c r="P100" s="152">
        <f t="shared" si="110"/>
        <v>2.7214285714285715</v>
      </c>
      <c r="Q100" s="191">
        <f t="shared" si="111"/>
        <v>9.4494047619047616E-2</v>
      </c>
      <c r="R100" s="191">
        <f t="shared" si="112"/>
        <v>0.11811755952380952</v>
      </c>
      <c r="S100" s="386">
        <f t="shared" si="113"/>
        <v>19.89348370927318</v>
      </c>
      <c r="T100" s="191">
        <f t="shared" si="114"/>
        <v>0.75</v>
      </c>
      <c r="U100" s="191">
        <f t="shared" si="115"/>
        <v>5.6249999999999991</v>
      </c>
      <c r="V100" s="191">
        <f t="shared" si="116"/>
        <v>5.5655918404796925</v>
      </c>
      <c r="W100" s="175">
        <f t="shared" si="117"/>
        <v>350</v>
      </c>
      <c r="X100" s="386">
        <f t="shared" si="158"/>
        <v>89.360778612504063</v>
      </c>
      <c r="Z100" s="191">
        <f t="shared" si="118"/>
        <v>0.1914873827410801</v>
      </c>
      <c r="AA100" s="153">
        <f t="shared" si="119"/>
        <v>1.420987486584756</v>
      </c>
      <c r="AB100" s="153">
        <f t="shared" si="120"/>
        <v>4.7617705574939599E-2</v>
      </c>
      <c r="AC100" s="153"/>
      <c r="AD100" s="153">
        <f t="shared" si="121"/>
        <v>1.1131183680959384</v>
      </c>
      <c r="AE100" s="317">
        <f t="shared" si="122"/>
        <v>1137.9442680776015</v>
      </c>
      <c r="AF100" s="463">
        <f t="shared" si="123"/>
        <v>2.9219357162518386E-2</v>
      </c>
      <c r="AH100" s="153">
        <f t="shared" si="124"/>
        <v>0.36095112451094302</v>
      </c>
      <c r="AI100" s="153">
        <f t="shared" si="125"/>
        <v>0.75</v>
      </c>
      <c r="AJ100" s="153">
        <f t="shared" si="126"/>
        <v>1.6444444444444444</v>
      </c>
      <c r="AL100" s="317">
        <f t="shared" si="127"/>
        <v>95</v>
      </c>
      <c r="AM100" s="147">
        <f t="shared" si="128"/>
        <v>89.360778612504063</v>
      </c>
      <c r="AO100" t="str">
        <f t="shared" si="159"/>
        <v/>
      </c>
      <c r="AP100" t="str">
        <f t="shared" si="129"/>
        <v/>
      </c>
      <c r="AR100" s="5">
        <f t="shared" si="160"/>
        <v>11.190591840479691</v>
      </c>
      <c r="AS100" s="5">
        <f t="shared" si="130"/>
        <v>5.6249999999999991</v>
      </c>
      <c r="AT100" s="5">
        <f t="shared" si="161"/>
        <v>5.5655918404796916</v>
      </c>
      <c r="AU100" s="153">
        <f t="shared" si="162"/>
        <v>0.50265437969533522</v>
      </c>
      <c r="AW100" s="5">
        <f t="shared" si="131"/>
        <v>1.7236920000000002</v>
      </c>
      <c r="AX100" s="5">
        <f t="shared" si="132"/>
        <v>15.8413203</v>
      </c>
      <c r="AY100" s="5">
        <f t="shared" si="133"/>
        <v>1.7372910952321905</v>
      </c>
      <c r="AZ100" s="5">
        <f t="shared" si="134"/>
        <v>11.59294700688765</v>
      </c>
      <c r="BA100" s="5">
        <f t="shared" si="135"/>
        <v>1.0574624496911413</v>
      </c>
      <c r="BB100" s="147">
        <f t="shared" si="136"/>
        <v>106.31624496911414</v>
      </c>
      <c r="BC100" s="5"/>
      <c r="BD100" s="153">
        <f t="shared" si="163"/>
        <v>0.30699787652828375</v>
      </c>
      <c r="BE100" s="153">
        <f t="shared" si="137"/>
        <v>0.30537240184261027</v>
      </c>
      <c r="BF100" s="153">
        <f t="shared" si="138"/>
        <v>0.30417486301185498</v>
      </c>
      <c r="BG100" s="153"/>
      <c r="BH100" s="463">
        <f t="shared" si="139"/>
        <v>3.2986693667506374E-2</v>
      </c>
      <c r="BI100" s="463">
        <f t="shared" si="140"/>
        <v>1.3511349726210615E-2</v>
      </c>
      <c r="BJ100" s="463">
        <f t="shared" si="141"/>
        <v>1.1170097326563008E-3</v>
      </c>
      <c r="BK100" s="463">
        <f t="shared" si="142"/>
        <v>7.2637016128108273E-3</v>
      </c>
      <c r="BL100">
        <f t="shared" si="143"/>
        <v>5.7999999999999996E-3</v>
      </c>
      <c r="BM100">
        <f t="shared" si="144"/>
        <v>3.351029197968902E-6</v>
      </c>
      <c r="BN100">
        <f t="shared" si="145"/>
        <v>6.5534153217813723E-2</v>
      </c>
      <c r="BO100" s="147">
        <f t="shared" si="164"/>
        <v>65.534153217813724</v>
      </c>
      <c r="BP100" s="153">
        <f t="shared" si="146"/>
        <v>0.10753476010864325</v>
      </c>
      <c r="BQ100" s="153">
        <f t="shared" si="147"/>
        <v>0.10697707332824651</v>
      </c>
      <c r="BR100" s="463"/>
      <c r="BT100" s="147">
        <f t="shared" si="165"/>
        <v>214.51183343688976</v>
      </c>
      <c r="BU100" s="463">
        <f t="shared" si="148"/>
        <v>7.5398156954300299E-2</v>
      </c>
      <c r="BV100" s="463">
        <f t="shared" si="149"/>
        <v>7.4228833830471228E-2</v>
      </c>
      <c r="BW100" s="463">
        <f t="shared" si="150"/>
        <v>4.626117364414037E-3</v>
      </c>
      <c r="BX100" s="463">
        <f t="shared" si="151"/>
        <v>0</v>
      </c>
      <c r="BY100" s="463">
        <f t="shared" si="152"/>
        <v>0.17492206287770817</v>
      </c>
      <c r="BZ100" s="463">
        <f t="shared" si="166"/>
        <v>0.15425310814918558</v>
      </c>
      <c r="CA100" s="549">
        <f t="shared" si="153"/>
        <v>7.5398156954300299E-2</v>
      </c>
      <c r="CB100" s="147">
        <f t="shared" si="167"/>
        <v>250.32021983200846</v>
      </c>
      <c r="CC100" s="153">
        <f t="shared" si="168"/>
        <v>0.53036620648671196</v>
      </c>
      <c r="CD100" s="5">
        <f t="shared" si="169"/>
        <v>3.42</v>
      </c>
      <c r="CE100" s="153">
        <f t="shared" si="170"/>
        <v>0.86574252138553065</v>
      </c>
      <c r="CF100" s="5">
        <f t="shared" si="171"/>
        <v>86.574252138553064</v>
      </c>
      <c r="CG100">
        <f t="shared" si="172"/>
        <v>95</v>
      </c>
      <c r="CI100" s="59">
        <f t="shared" si="154"/>
        <v>-50</v>
      </c>
      <c r="CJ100">
        <f t="shared" si="155"/>
        <v>-50</v>
      </c>
    </row>
    <row r="101" spans="5:88" x14ac:dyDescent="0.25">
      <c r="E101" s="150">
        <v>96</v>
      </c>
      <c r="F101" s="191">
        <f t="shared" si="173"/>
        <v>9.6000000000000002E-2</v>
      </c>
      <c r="G101" s="191">
        <f t="shared" si="156"/>
        <v>9.6000000000000002E-2</v>
      </c>
      <c r="H101" s="191">
        <f t="shared" si="105"/>
        <v>1.92</v>
      </c>
      <c r="I101" s="191">
        <f t="shared" si="174"/>
        <v>1.536</v>
      </c>
      <c r="J101" s="472">
        <f t="shared" si="106"/>
        <v>20</v>
      </c>
      <c r="K101" s="386">
        <f t="shared" si="107"/>
        <v>20.006259920634921</v>
      </c>
      <c r="L101" s="386">
        <f t="shared" si="108"/>
        <v>40.32</v>
      </c>
      <c r="M101" s="386"/>
      <c r="N101" s="191">
        <f t="shared" si="109"/>
        <v>0.50396825396825395</v>
      </c>
      <c r="O101" s="152">
        <f t="shared" si="157"/>
        <v>1.8898809523809523</v>
      </c>
      <c r="P101" s="152">
        <f t="shared" si="110"/>
        <v>2.7214285714285715</v>
      </c>
      <c r="Q101" s="191">
        <f t="shared" si="111"/>
        <v>9.4494047619047616E-2</v>
      </c>
      <c r="R101" s="191">
        <f t="shared" si="112"/>
        <v>0.11811755952380952</v>
      </c>
      <c r="S101" s="386">
        <f t="shared" si="113"/>
        <v>19.686259920634921</v>
      </c>
      <c r="T101" s="191">
        <f t="shared" si="114"/>
        <v>0.75</v>
      </c>
      <c r="U101" s="191">
        <f t="shared" si="115"/>
        <v>5.6249999999999991</v>
      </c>
      <c r="V101" s="191">
        <f t="shared" si="116"/>
        <v>5.6232399482106539</v>
      </c>
      <c r="W101" s="175">
        <f t="shared" si="117"/>
        <v>350</v>
      </c>
      <c r="X101" s="386">
        <f t="shared" si="158"/>
        <v>88.90279764694013</v>
      </c>
      <c r="Z101" s="191">
        <f t="shared" si="118"/>
        <v>0.19050599495772888</v>
      </c>
      <c r="AA101" s="153">
        <f t="shared" si="119"/>
        <v>1.4283478949598913</v>
      </c>
      <c r="AB101" s="153">
        <f t="shared" ref="AB101:AB105" si="175">0.5*AA101*Z101*Nps*W101/1000*(Pout/Pout_total)</f>
        <v>4.7619046453144548E-2</v>
      </c>
      <c r="AC101" s="153"/>
      <c r="AD101" s="153">
        <f t="shared" si="121"/>
        <v>1.1246479896421306</v>
      </c>
      <c r="AE101" s="317">
        <f t="shared" ref="AE101:AE105" si="176">MAX(10, F101/(0.5*AD101/1000000*Isw_min*Nps)/1000*Pout_total/Pout)</f>
        <v>1138.1338977072314</v>
      </c>
      <c r="AF101" s="463">
        <f t="shared" si="123"/>
        <v>2.9522009728105932E-2</v>
      </c>
      <c r="AH101" s="153">
        <f t="shared" si="124"/>
        <v>0.36284589408885815</v>
      </c>
      <c r="AI101" s="153">
        <f t="shared" ref="AI101:AI105" si="177">MAX(IF(F101&gt;AB101,T101,AH101),Isw_min)</f>
        <v>0.75</v>
      </c>
      <c r="AJ101" s="153">
        <f t="shared" ref="AJ101:AJ105" si="178">IF(F101&gt;AF101, (AI101-Isw_min)/1.08*0.8+1.2, AE101*0.2/350+1)</f>
        <v>1.6444444444444444</v>
      </c>
      <c r="AL101" s="317">
        <f t="shared" si="127"/>
        <v>96</v>
      </c>
      <c r="AM101" s="147">
        <f t="shared" si="128"/>
        <v>88.90279764694013</v>
      </c>
      <c r="AO101" t="str">
        <f t="shared" si="159"/>
        <v/>
      </c>
      <c r="AP101" t="str">
        <f t="shared" si="129"/>
        <v/>
      </c>
      <c r="AR101" s="5">
        <f t="shared" si="160"/>
        <v>11.248239948210653</v>
      </c>
      <c r="AS101" s="5">
        <f t="shared" si="130"/>
        <v>5.6249999999999991</v>
      </c>
      <c r="AT101" s="5">
        <f t="shared" si="161"/>
        <v>5.6232399482106539</v>
      </c>
      <c r="AU101" s="153">
        <f t="shared" si="162"/>
        <v>0.50007823676403818</v>
      </c>
      <c r="AW101" s="5">
        <f t="shared" si="131"/>
        <v>1.7236920000000002</v>
      </c>
      <c r="AX101" s="5">
        <f t="shared" si="132"/>
        <v>16.173545471999997</v>
      </c>
      <c r="AY101" s="5">
        <f t="shared" si="133"/>
        <v>1.7372910952321905</v>
      </c>
      <c r="AZ101" s="5">
        <f t="shared" si="134"/>
        <v>11.83627253357081</v>
      </c>
      <c r="BA101" s="5">
        <f t="shared" si="135"/>
        <v>1.0796620700564457</v>
      </c>
      <c r="BB101" s="147">
        <f t="shared" si="136"/>
        <v>108.54220700564456</v>
      </c>
      <c r="BC101" s="5"/>
      <c r="BD101" s="153">
        <f t="shared" si="163"/>
        <v>0.30621017192976652</v>
      </c>
      <c r="BE101" s="153">
        <f t="shared" si="137"/>
        <v>0.30616226189186491</v>
      </c>
      <c r="BF101" s="153">
        <f t="shared" si="138"/>
        <v>0.30496162557072037</v>
      </c>
      <c r="BG101" s="153"/>
      <c r="BH101" s="463">
        <f t="shared" si="139"/>
        <v>3.2817634287640007E-2</v>
      </c>
      <c r="BI101" s="463">
        <f t="shared" si="140"/>
        <v>1.3442103004217351E-2</v>
      </c>
      <c r="BJ101" s="463">
        <f t="shared" si="141"/>
        <v>1.1112849705867515E-3</v>
      </c>
      <c r="BK101" s="463">
        <f t="shared" si="142"/>
        <v>7.2264745750672474E-3</v>
      </c>
      <c r="BL101">
        <f t="shared" si="143"/>
        <v>5.7999999999999996E-3</v>
      </c>
      <c r="BM101">
        <f t="shared" si="144"/>
        <v>3.3338549117602548E-6</v>
      </c>
      <c r="BN101">
        <f t="shared" ref="BN101:BN105" si="179">(BI101+BJ101+BK101+BL101+BM101+BH101*(1+RdsonTC*(Ta-25)))/(1-BH101*RdsonTC*ThetaJA)</f>
        <v>6.522614608185015E-2</v>
      </c>
      <c r="BO101" s="147">
        <f t="shared" si="164"/>
        <v>65.226146081850146</v>
      </c>
      <c r="BP101" s="153">
        <f t="shared" si="146"/>
        <v>0.10828579258355156</v>
      </c>
      <c r="BQ101" s="153">
        <f t="shared" si="147"/>
        <v>0.10772521710604251</v>
      </c>
      <c r="BR101" s="463"/>
      <c r="BT101" s="147">
        <f t="shared" si="165"/>
        <v>216.01100968959409</v>
      </c>
      <c r="BU101" s="463">
        <f t="shared" si="148"/>
        <v>7.5011735514605743E-2</v>
      </c>
      <c r="BV101" s="463">
        <f t="shared" si="149"/>
        <v>7.4613323162967329E-2</v>
      </c>
      <c r="BW101" s="463">
        <f t="shared" si="150"/>
        <v>4.650079653536812E-3</v>
      </c>
      <c r="BX101" s="463">
        <f t="shared" si="151"/>
        <v>0</v>
      </c>
      <c r="BY101" s="463">
        <f t="shared" ref="BY101:BY164" si="180">(BX101+(BU101+BV101+BW101)*(1+Ltc*(Ta-25)))/(1-(BU101+BV101+BW101)*Ltc*ThetaCa)</f>
        <v>0.17494735714882689</v>
      </c>
      <c r="BZ101" s="463">
        <f t="shared" si="166"/>
        <v>0.1542751383311099</v>
      </c>
      <c r="CA101" s="549">
        <f t="shared" si="153"/>
        <v>7.5011735514605729E-2</v>
      </c>
      <c r="CB101" s="147">
        <f t="shared" si="167"/>
        <v>249.95909266343264</v>
      </c>
      <c r="CC101" s="153">
        <f t="shared" si="168"/>
        <v>0.53119624843487678</v>
      </c>
      <c r="CD101" s="5">
        <f t="shared" si="169"/>
        <v>3.456</v>
      </c>
      <c r="CE101" s="153">
        <f t="shared" si="170"/>
        <v>0.86677449131243767</v>
      </c>
      <c r="CF101" s="5">
        <f t="shared" si="171"/>
        <v>86.677449131243762</v>
      </c>
      <c r="CG101">
        <f t="shared" si="172"/>
        <v>96</v>
      </c>
      <c r="CI101" s="59">
        <f t="shared" si="154"/>
        <v>-50</v>
      </c>
      <c r="CJ101">
        <f t="shared" si="155"/>
        <v>-50</v>
      </c>
    </row>
    <row r="102" spans="5:88" x14ac:dyDescent="0.25">
      <c r="E102" s="150">
        <v>97</v>
      </c>
      <c r="F102" s="191">
        <f t="shared" si="173"/>
        <v>9.7000000000000003E-2</v>
      </c>
      <c r="G102" s="191">
        <f t="shared" si="156"/>
        <v>9.7000000000000003E-2</v>
      </c>
      <c r="H102" s="191">
        <f t="shared" si="105"/>
        <v>1.94</v>
      </c>
      <c r="I102" s="191">
        <f t="shared" si="174"/>
        <v>1.552</v>
      </c>
      <c r="J102" s="472">
        <f t="shared" si="106"/>
        <v>20</v>
      </c>
      <c r="K102" s="386">
        <f t="shared" si="107"/>
        <v>19.803308787432499</v>
      </c>
      <c r="L102" s="386">
        <f t="shared" si="108"/>
        <v>40.32</v>
      </c>
      <c r="M102" s="386"/>
      <c r="N102" s="191">
        <f t="shared" si="109"/>
        <v>0.50396825396825395</v>
      </c>
      <c r="O102" s="152">
        <f t="shared" ref="O102:O105" si="181">N102*J102*Isw_max*0.5*Efficiency*Pout/(Pout+Pout2)</f>
        <v>1.8898809523809523</v>
      </c>
      <c r="P102" s="152">
        <f t="shared" si="110"/>
        <v>2.7214285714285715</v>
      </c>
      <c r="Q102" s="191">
        <f t="shared" si="111"/>
        <v>9.4494047619047616E-2</v>
      </c>
      <c r="R102" s="191">
        <f t="shared" si="112"/>
        <v>0.11811755952380952</v>
      </c>
      <c r="S102" s="386">
        <f t="shared" si="113"/>
        <v>19.483308787432499</v>
      </c>
      <c r="T102" s="191">
        <f t="shared" si="114"/>
        <v>0.75</v>
      </c>
      <c r="U102" s="191">
        <f t="shared" si="115"/>
        <v>5.6249999999999991</v>
      </c>
      <c r="V102" s="191">
        <f t="shared" si="116"/>
        <v>5.6808688491185029</v>
      </c>
      <c r="W102" s="175">
        <f t="shared" si="117"/>
        <v>350</v>
      </c>
      <c r="X102" s="386">
        <f t="shared" si="158"/>
        <v>88.449637382620807</v>
      </c>
      <c r="Z102" s="191">
        <f t="shared" si="118"/>
        <v>0.18953493724847317</v>
      </c>
      <c r="AA102" s="153">
        <f t="shared" si="119"/>
        <v>1.4356308277793084</v>
      </c>
      <c r="AB102" s="153">
        <f t="shared" si="175"/>
        <v>4.7617884799646848E-2</v>
      </c>
      <c r="AC102" s="153"/>
      <c r="AD102" s="153">
        <f t="shared" si="121"/>
        <v>1.1361737698237004</v>
      </c>
      <c r="AE102" s="317">
        <f t="shared" si="176"/>
        <v>1138.3235273368607</v>
      </c>
      <c r="AF102" s="463">
        <f t="shared" si="123"/>
        <v>2.9824561457872135E-2</v>
      </c>
      <c r="AH102" s="153">
        <f t="shared" si="124"/>
        <v>0.36473082050818167</v>
      </c>
      <c r="AI102" s="153">
        <f t="shared" si="177"/>
        <v>0.75</v>
      </c>
      <c r="AJ102" s="153">
        <f t="shared" si="178"/>
        <v>1.6444444444444444</v>
      </c>
      <c r="AL102" s="317">
        <f t="shared" si="127"/>
        <v>97</v>
      </c>
      <c r="AM102" s="147">
        <f t="shared" si="128"/>
        <v>88.449637382620807</v>
      </c>
      <c r="AO102" t="str">
        <f t="shared" si="159"/>
        <v/>
      </c>
      <c r="AP102" t="str">
        <f t="shared" si="129"/>
        <v/>
      </c>
      <c r="AR102" s="5">
        <f t="shared" si="160"/>
        <v>11.305868849118504</v>
      </c>
      <c r="AS102" s="5">
        <f t="shared" si="130"/>
        <v>5.6249999999999991</v>
      </c>
      <c r="AT102" s="5">
        <f t="shared" si="161"/>
        <v>5.6808688491185046</v>
      </c>
      <c r="AU102" s="153">
        <f t="shared" si="162"/>
        <v>0.4975292102772419</v>
      </c>
      <c r="AW102" s="5">
        <f t="shared" si="131"/>
        <v>1.7236920000000002</v>
      </c>
      <c r="AX102" s="5">
        <f t="shared" si="132"/>
        <v>16.509218027999999</v>
      </c>
      <c r="AY102" s="5">
        <f t="shared" si="133"/>
        <v>1.7372910952321905</v>
      </c>
      <c r="AZ102" s="5">
        <f t="shared" si="134"/>
        <v>12.082125029119769</v>
      </c>
      <c r="BA102" s="5">
        <f t="shared" si="135"/>
        <v>1.10208855672899</v>
      </c>
      <c r="BB102" s="147">
        <f t="shared" si="136"/>
        <v>110.790855672899</v>
      </c>
      <c r="BC102" s="5"/>
      <c r="BD102" s="153">
        <f t="shared" si="163"/>
        <v>0.30542875916812884</v>
      </c>
      <c r="BE102" s="153">
        <f t="shared" si="137"/>
        <v>0.3069418073072111</v>
      </c>
      <c r="BF102" s="153">
        <f t="shared" si="138"/>
        <v>0.30573811394522205</v>
      </c>
      <c r="BG102" s="153"/>
      <c r="BH102" s="463">
        <f t="shared" si="139"/>
        <v>3.2650354424443993E-2</v>
      </c>
      <c r="BI102" s="463">
        <f t="shared" si="140"/>
        <v>1.3373585172252267E-2</v>
      </c>
      <c r="BJ102" s="463">
        <f t="shared" si="141"/>
        <v>1.1056204672827601E-3</v>
      </c>
      <c r="BK102" s="463">
        <f t="shared" si="142"/>
        <v>7.1896393886028195E-3</v>
      </c>
      <c r="BL102">
        <f t="shared" si="143"/>
        <v>5.7999999999999996E-3</v>
      </c>
      <c r="BM102">
        <f t="shared" si="144"/>
        <v>3.3168614018482802E-6</v>
      </c>
      <c r="BN102">
        <f t="shared" si="179"/>
        <v>6.4921400051383554E-2</v>
      </c>
      <c r="BO102" s="147">
        <f t="shared" si="164"/>
        <v>64.921400051383557</v>
      </c>
      <c r="BP102" s="153">
        <f t="shared" si="146"/>
        <v>0.10903294062778508</v>
      </c>
      <c r="BQ102" s="153">
        <f t="shared" si="147"/>
        <v>0.10846950685954913</v>
      </c>
      <c r="BR102" s="463"/>
      <c r="BT102" s="147">
        <f t="shared" si="165"/>
        <v>217.50244748733422</v>
      </c>
      <c r="BU102" s="463">
        <f t="shared" si="148"/>
        <v>7.4629381541586284E-2</v>
      </c>
      <c r="BV102" s="463">
        <f t="shared" si="149"/>
        <v>7.4993765366121623E-2</v>
      </c>
      <c r="BW102" s="463">
        <f t="shared" si="150"/>
        <v>4.6737897159390791E-3</v>
      </c>
      <c r="BX102" s="463">
        <f t="shared" si="151"/>
        <v>0</v>
      </c>
      <c r="BY102" s="463">
        <f t="shared" si="180"/>
        <v>0.17497238526165304</v>
      </c>
      <c r="BZ102" s="463">
        <f t="shared" si="166"/>
        <v>0.15429693662364696</v>
      </c>
      <c r="CA102" s="549">
        <f t="shared" si="153"/>
        <v>7.4629381541586312E-2</v>
      </c>
      <c r="CB102" s="147">
        <f t="shared" si="167"/>
        <v>249.60176680323937</v>
      </c>
      <c r="CC102" s="153">
        <f t="shared" si="168"/>
        <v>0.53202561434195716</v>
      </c>
      <c r="CD102" s="5">
        <f t="shared" si="169"/>
        <v>3.492</v>
      </c>
      <c r="CE102" s="153">
        <f t="shared" si="170"/>
        <v>0.8677877167466892</v>
      </c>
      <c r="CF102" s="5">
        <f t="shared" si="171"/>
        <v>86.778771674668917</v>
      </c>
      <c r="CG102">
        <f t="shared" si="172"/>
        <v>97</v>
      </c>
      <c r="CI102" s="59">
        <f t="shared" si="154"/>
        <v>-50</v>
      </c>
      <c r="CJ102">
        <f t="shared" si="155"/>
        <v>-50</v>
      </c>
    </row>
    <row r="103" spans="5:88" x14ac:dyDescent="0.25">
      <c r="E103" s="150">
        <v>98</v>
      </c>
      <c r="F103" s="191">
        <f t="shared" si="173"/>
        <v>9.8000000000000004E-2</v>
      </c>
      <c r="G103" s="191">
        <f t="shared" si="156"/>
        <v>9.8000000000000004E-2</v>
      </c>
      <c r="H103" s="191">
        <f t="shared" si="105"/>
        <v>1.96</v>
      </c>
      <c r="I103" s="191">
        <f t="shared" si="174"/>
        <v>1.5680000000000001</v>
      </c>
      <c r="J103" s="472">
        <f t="shared" si="106"/>
        <v>20</v>
      </c>
      <c r="K103" s="386">
        <f t="shared" si="107"/>
        <v>19.604499514091351</v>
      </c>
      <c r="L103" s="386">
        <f t="shared" si="108"/>
        <v>40.32</v>
      </c>
      <c r="M103" s="386"/>
      <c r="N103" s="191">
        <f t="shared" si="109"/>
        <v>0.50396825396825395</v>
      </c>
      <c r="O103" s="152">
        <f t="shared" si="181"/>
        <v>1.8898809523809523</v>
      </c>
      <c r="P103" s="152">
        <f t="shared" si="110"/>
        <v>2.7214285714285715</v>
      </c>
      <c r="Q103" s="191">
        <f t="shared" si="111"/>
        <v>9.4494047619047616E-2</v>
      </c>
      <c r="R103" s="191">
        <f t="shared" si="112"/>
        <v>0.11811755952380952</v>
      </c>
      <c r="S103" s="386">
        <f t="shared" si="113"/>
        <v>19.284499514091351</v>
      </c>
      <c r="T103" s="191">
        <f t="shared" si="114"/>
        <v>0.75</v>
      </c>
      <c r="U103" s="191">
        <f t="shared" si="115"/>
        <v>5.6249999999999991</v>
      </c>
      <c r="V103" s="191">
        <f t="shared" si="116"/>
        <v>5.7384785528004461</v>
      </c>
      <c r="W103" s="175">
        <f t="shared" si="117"/>
        <v>350</v>
      </c>
      <c r="X103" s="386">
        <f t="shared" si="158"/>
        <v>88.001222104085144</v>
      </c>
      <c r="Z103" s="191">
        <f t="shared" si="118"/>
        <v>0.18857404736589672</v>
      </c>
      <c r="AA103" s="153">
        <f t="shared" si="119"/>
        <v>1.4428375018986319</v>
      </c>
      <c r="AB103" s="153">
        <f t="shared" si="175"/>
        <v>4.761429879925682E-2</v>
      </c>
      <c r="AC103" s="153"/>
      <c r="AD103" s="153">
        <f t="shared" si="121"/>
        <v>1.1476957105600893</v>
      </c>
      <c r="AE103" s="317">
        <f t="shared" si="176"/>
        <v>1138.5131569664904</v>
      </c>
      <c r="AF103" s="463">
        <f t="shared" si="123"/>
        <v>3.0127012402202339E-2</v>
      </c>
      <c r="AH103" s="153">
        <f t="shared" si="124"/>
        <v>0.36660605559646725</v>
      </c>
      <c r="AI103" s="153">
        <f t="shared" si="177"/>
        <v>0.75</v>
      </c>
      <c r="AJ103" s="153">
        <f t="shared" si="178"/>
        <v>1.6444444444444444</v>
      </c>
      <c r="AL103" s="317">
        <f t="shared" si="127"/>
        <v>98</v>
      </c>
      <c r="AM103" s="147">
        <f t="shared" si="128"/>
        <v>88.001222104085144</v>
      </c>
      <c r="AO103" t="str">
        <f t="shared" si="159"/>
        <v/>
      </c>
      <c r="AP103" t="str">
        <f t="shared" si="129"/>
        <v/>
      </c>
      <c r="AR103" s="5">
        <f t="shared" si="160"/>
        <v>11.363478552800446</v>
      </c>
      <c r="AS103" s="5">
        <f t="shared" si="130"/>
        <v>5.6249999999999991</v>
      </c>
      <c r="AT103" s="5">
        <f t="shared" si="161"/>
        <v>5.7384785528004469</v>
      </c>
      <c r="AU103" s="153">
        <f t="shared" si="162"/>
        <v>0.4950068743354788</v>
      </c>
      <c r="AW103" s="5">
        <f t="shared" si="131"/>
        <v>1.7236920000000002</v>
      </c>
      <c r="AX103" s="5">
        <f t="shared" si="132"/>
        <v>16.848337967999999</v>
      </c>
      <c r="AY103" s="5">
        <f t="shared" si="133"/>
        <v>1.7372910952321905</v>
      </c>
      <c r="AZ103" s="5">
        <f t="shared" si="134"/>
        <v>12.330504493534514</v>
      </c>
      <c r="BA103" s="5">
        <f t="shared" si="135"/>
        <v>1.1247417963488877</v>
      </c>
      <c r="BB103" s="147">
        <f t="shared" si="136"/>
        <v>113.06217963488878</v>
      </c>
      <c r="BC103" s="5"/>
      <c r="BD103" s="153">
        <f t="shared" si="163"/>
        <v>0.30465355559701301</v>
      </c>
      <c r="BE103" s="153">
        <f t="shared" si="137"/>
        <v>0.30771124623922624</v>
      </c>
      <c r="BF103" s="153">
        <f t="shared" si="138"/>
        <v>0.30650453546966072</v>
      </c>
      <c r="BG103" s="153"/>
      <c r="BH103" s="463">
        <f t="shared" si="139"/>
        <v>3.2484826128265802E-2</v>
      </c>
      <c r="BI103" s="463">
        <f t="shared" si="140"/>
        <v>1.3305784782137675E-2</v>
      </c>
      <c r="BJ103" s="463">
        <f t="shared" si="141"/>
        <v>1.1000152763010643E-3</v>
      </c>
      <c r="BK103" s="463">
        <f t="shared" si="142"/>
        <v>7.1531898988772148E-3</v>
      </c>
      <c r="BL103">
        <f t="shared" si="143"/>
        <v>5.7999999999999996E-3</v>
      </c>
      <c r="BM103">
        <f t="shared" si="144"/>
        <v>3.3000458289031929E-6</v>
      </c>
      <c r="BN103">
        <f t="shared" si="179"/>
        <v>6.4619863607447925E-2</v>
      </c>
      <c r="BO103" s="147">
        <f t="shared" si="164"/>
        <v>64.619863607447925</v>
      </c>
      <c r="BP103" s="153">
        <f t="shared" si="146"/>
        <v>0.10977626525144268</v>
      </c>
      <c r="BQ103" s="153">
        <f t="shared" si="147"/>
        <v>0.10921000312129302</v>
      </c>
      <c r="BR103" s="463"/>
      <c r="BT103" s="147">
        <f t="shared" si="165"/>
        <v>218.98626837273571</v>
      </c>
      <c r="BU103" s="463">
        <f t="shared" si="148"/>
        <v>7.4251031150321847E-2</v>
      </c>
      <c r="BV103" s="463">
        <f t="shared" si="149"/>
        <v>7.5370224005429795E-2</v>
      </c>
      <c r="BW103" s="463">
        <f t="shared" si="150"/>
        <v>4.6972515131736255E-3</v>
      </c>
      <c r="BX103" s="463">
        <f t="shared" si="151"/>
        <v>0</v>
      </c>
      <c r="BY103" s="463">
        <f t="shared" si="180"/>
        <v>0.17499715139516575</v>
      </c>
      <c r="BZ103" s="463">
        <f t="shared" si="166"/>
        <v>0.15431850666892527</v>
      </c>
      <c r="CA103" s="549">
        <f t="shared" si="153"/>
        <v>7.4251031150321847E-2</v>
      </c>
      <c r="CB103" s="147">
        <f t="shared" si="167"/>
        <v>249.24818254548759</v>
      </c>
      <c r="CC103" s="153">
        <f t="shared" si="168"/>
        <v>0.53285431452567122</v>
      </c>
      <c r="CD103" s="5">
        <f t="shared" si="169"/>
        <v>3.528</v>
      </c>
      <c r="CE103" s="153">
        <f t="shared" si="170"/>
        <v>0.86878270598882312</v>
      </c>
      <c r="CF103" s="5">
        <f t="shared" si="171"/>
        <v>86.87827059888231</v>
      </c>
      <c r="CG103">
        <f t="shared" si="172"/>
        <v>98</v>
      </c>
      <c r="CI103" s="59">
        <f t="shared" si="154"/>
        <v>-50</v>
      </c>
      <c r="CJ103">
        <f t="shared" si="155"/>
        <v>-50</v>
      </c>
    </row>
    <row r="104" spans="5:88" x14ac:dyDescent="0.25">
      <c r="E104" s="150">
        <v>99</v>
      </c>
      <c r="F104" s="191">
        <f t="shared" ref="F104:F105" si="182">IF(PLOT_TYPE=1, E104/100*Iout_max, min_I*EXP(O104*rr/100))</f>
        <v>9.9000000000000005E-2</v>
      </c>
      <c r="G104" s="191">
        <f t="shared" si="156"/>
        <v>9.9000000000000005E-2</v>
      </c>
      <c r="H104" s="191">
        <f t="shared" si="105"/>
        <v>1.98</v>
      </c>
      <c r="I104" s="191">
        <f t="shared" si="174"/>
        <v>1.5840000000000001</v>
      </c>
      <c r="J104" s="472">
        <f t="shared" si="106"/>
        <v>20</v>
      </c>
      <c r="K104" s="386">
        <f t="shared" si="107"/>
        <v>19.409706589706587</v>
      </c>
      <c r="L104" s="386">
        <f t="shared" si="108"/>
        <v>40.32</v>
      </c>
      <c r="M104" s="386"/>
      <c r="N104" s="191">
        <f t="shared" si="109"/>
        <v>0.50396825396825395</v>
      </c>
      <c r="O104" s="152">
        <f t="shared" si="181"/>
        <v>1.8898809523809523</v>
      </c>
      <c r="P104" s="152">
        <f t="shared" si="110"/>
        <v>2.7214285714285715</v>
      </c>
      <c r="Q104" s="191">
        <f t="shared" si="111"/>
        <v>9.4494047619047616E-2</v>
      </c>
      <c r="R104" s="191">
        <f t="shared" si="112"/>
        <v>0.11811755952380952</v>
      </c>
      <c r="S104" s="386">
        <f t="shared" si="113"/>
        <v>19.089706589706587</v>
      </c>
      <c r="T104" s="191">
        <f t="shared" si="114"/>
        <v>0.75</v>
      </c>
      <c r="U104" s="191">
        <f t="shared" si="115"/>
        <v>5.6249999999999991</v>
      </c>
      <c r="V104" s="191">
        <f t="shared" si="116"/>
        <v>5.7960690688473013</v>
      </c>
      <c r="W104" s="175">
        <f t="shared" si="117"/>
        <v>350</v>
      </c>
      <c r="X104" s="386">
        <f t="shared" si="158"/>
        <v>87.557477673228661</v>
      </c>
      <c r="Z104" s="191">
        <f t="shared" si="118"/>
        <v>0.18762316644263283</v>
      </c>
      <c r="AA104" s="153">
        <f t="shared" si="119"/>
        <v>1.4499691088231106</v>
      </c>
      <c r="AB104" s="153">
        <f t="shared" si="175"/>
        <v>4.7608364202244034E-2</v>
      </c>
      <c r="AC104" s="153"/>
      <c r="AD104" s="153">
        <f t="shared" si="121"/>
        <v>1.1592138137694603</v>
      </c>
      <c r="AE104" s="317">
        <f t="shared" si="176"/>
        <v>1138.7027865961199</v>
      </c>
      <c r="AF104" s="463">
        <f t="shared" si="123"/>
        <v>3.0429362611448334E-2</v>
      </c>
      <c r="AH104" s="153">
        <f t="shared" si="124"/>
        <v>0.36847174731779447</v>
      </c>
      <c r="AI104" s="153">
        <f t="shared" si="177"/>
        <v>0.75</v>
      </c>
      <c r="AJ104" s="153">
        <f t="shared" si="178"/>
        <v>1.6444444444444444</v>
      </c>
      <c r="AL104" s="317">
        <f t="shared" si="127"/>
        <v>99</v>
      </c>
      <c r="AM104" s="147">
        <f t="shared" si="128"/>
        <v>87.557477673228661</v>
      </c>
      <c r="AO104" t="str">
        <f t="shared" si="159"/>
        <v/>
      </c>
      <c r="AP104" t="str">
        <f t="shared" si="129"/>
        <v/>
      </c>
      <c r="AR104" s="5">
        <f t="shared" si="160"/>
        <v>11.4210690688473</v>
      </c>
      <c r="AS104" s="5">
        <f t="shared" si="130"/>
        <v>5.6249999999999991</v>
      </c>
      <c r="AT104" s="5">
        <f t="shared" si="161"/>
        <v>5.7960690688473013</v>
      </c>
      <c r="AU104" s="153">
        <f t="shared" si="162"/>
        <v>0.49251081191191115</v>
      </c>
      <c r="AW104" s="5">
        <f t="shared" si="131"/>
        <v>1.7236920000000002</v>
      </c>
      <c r="AX104" s="5">
        <f t="shared" si="132"/>
        <v>17.190905292</v>
      </c>
      <c r="AY104" s="5">
        <f t="shared" si="133"/>
        <v>1.7372910952321905</v>
      </c>
      <c r="AZ104" s="5">
        <f t="shared" si="134"/>
        <v>12.581410926815055</v>
      </c>
      <c r="BA104" s="5">
        <f t="shared" si="135"/>
        <v>1.1476216756317656</v>
      </c>
      <c r="BB104" s="147">
        <f t="shared" si="136"/>
        <v>115.35616756317656</v>
      </c>
      <c r="BC104" s="5"/>
      <c r="BD104" s="153">
        <f t="shared" si="163"/>
        <v>0.30388448007998592</v>
      </c>
      <c r="BE104" s="153">
        <f t="shared" si="137"/>
        <v>0.30847078105797421</v>
      </c>
      <c r="BF104" s="153">
        <f t="shared" si="138"/>
        <v>0.30726109172049199</v>
      </c>
      <c r="BG104" s="153"/>
      <c r="BH104" s="463">
        <f t="shared" si="139"/>
        <v>3.2321022031719174E-2</v>
      </c>
      <c r="BI104" s="463">
        <f t="shared" si="140"/>
        <v>1.3238690624192176E-2</v>
      </c>
      <c r="BJ104" s="463">
        <f t="shared" si="141"/>
        <v>1.0944684709153583E-3</v>
      </c>
      <c r="BK104" s="463">
        <f t="shared" si="142"/>
        <v>7.1171200795657136E-3</v>
      </c>
      <c r="BL104">
        <f t="shared" si="143"/>
        <v>5.7999999999999996E-3</v>
      </c>
      <c r="BM104">
        <f t="shared" si="144"/>
        <v>3.2834054127460746E-6</v>
      </c>
      <c r="BN104">
        <f t="shared" si="179"/>
        <v>6.4321486310588302E-2</v>
      </c>
      <c r="BO104" s="147">
        <f t="shared" si="164"/>
        <v>64.321486310588298</v>
      </c>
      <c r="BP104" s="153">
        <f t="shared" si="146"/>
        <v>0.11051582619361874</v>
      </c>
      <c r="BQ104" s="153">
        <f t="shared" si="147"/>
        <v>0.10994676516274522</v>
      </c>
      <c r="BR104" s="463"/>
      <c r="BT104" s="147">
        <f t="shared" si="165"/>
        <v>220.46259135636399</v>
      </c>
      <c r="BU104" s="463">
        <f t="shared" si="148"/>
        <v>7.3876621786786695E-2</v>
      </c>
      <c r="BV104" s="463">
        <f t="shared" si="149"/>
        <v>7.5742761322147273E-2</v>
      </c>
      <c r="BW104" s="463">
        <f t="shared" si="150"/>
        <v>4.7204689242634299E-3</v>
      </c>
      <c r="BX104" s="463">
        <f t="shared" si="151"/>
        <v>0</v>
      </c>
      <c r="BY104" s="463">
        <f t="shared" si="180"/>
        <v>0.17502165964131269</v>
      </c>
      <c r="BZ104" s="463">
        <f t="shared" si="166"/>
        <v>0.15433985203319739</v>
      </c>
      <c r="CA104" s="549">
        <f t="shared" si="153"/>
        <v>7.3876621786786681E-2</v>
      </c>
      <c r="CB104" s="147">
        <f t="shared" si="167"/>
        <v>248.89828142809938</v>
      </c>
      <c r="CC104" s="153">
        <f t="shared" si="168"/>
        <v>0.53368235909505157</v>
      </c>
      <c r="CD104" s="5">
        <f t="shared" si="169"/>
        <v>3.5640000000000001</v>
      </c>
      <c r="CE104" s="153">
        <f t="shared" si="170"/>
        <v>0.86975994908182397</v>
      </c>
      <c r="CF104" s="5">
        <f t="shared" si="171"/>
        <v>86.9759949081824</v>
      </c>
      <c r="CG104">
        <f t="shared" si="172"/>
        <v>99</v>
      </c>
      <c r="CI104" s="59">
        <f t="shared" si="154"/>
        <v>-50</v>
      </c>
      <c r="CJ104">
        <f t="shared" si="155"/>
        <v>-50</v>
      </c>
    </row>
    <row r="105" spans="5:88" x14ac:dyDescent="0.25">
      <c r="E105" s="150">
        <v>100</v>
      </c>
      <c r="F105" s="191">
        <f t="shared" si="182"/>
        <v>0.1</v>
      </c>
      <c r="G105" s="191">
        <f t="shared" si="156"/>
        <v>0.1</v>
      </c>
      <c r="H105" s="191">
        <f t="shared" si="105"/>
        <v>2</v>
      </c>
      <c r="I105" s="191">
        <f t="shared" si="174"/>
        <v>1.6</v>
      </c>
      <c r="J105" s="472">
        <f t="shared" si="106"/>
        <v>20</v>
      </c>
      <c r="K105" s="386">
        <f t="shared" si="107"/>
        <v>19.218809523809522</v>
      </c>
      <c r="L105" s="386">
        <f t="shared" si="108"/>
        <v>40.32</v>
      </c>
      <c r="M105" s="386"/>
      <c r="N105" s="191">
        <f t="shared" si="109"/>
        <v>0.50396825396825395</v>
      </c>
      <c r="O105" s="152">
        <f t="shared" si="181"/>
        <v>1.8898809523809523</v>
      </c>
      <c r="P105" s="152">
        <f t="shared" si="110"/>
        <v>2.7214285714285715</v>
      </c>
      <c r="Q105" s="191">
        <f t="shared" si="111"/>
        <v>9.4494047619047616E-2</v>
      </c>
      <c r="R105" s="191">
        <f t="shared" si="112"/>
        <v>0.11811755952380952</v>
      </c>
      <c r="S105" s="386">
        <f t="shared" si="113"/>
        <v>18.898809523809522</v>
      </c>
      <c r="T105" s="191">
        <f t="shared" si="114"/>
        <v>0.75</v>
      </c>
      <c r="U105" s="191">
        <f t="shared" si="115"/>
        <v>5.6249999999999991</v>
      </c>
      <c r="V105" s="191">
        <f t="shared" si="116"/>
        <v>5.8536404068434944</v>
      </c>
      <c r="W105" s="175">
        <f t="shared" si="117"/>
        <v>350</v>
      </c>
      <c r="X105" s="386">
        <f t="shared" si="158"/>
        <v>87.118331488440603</v>
      </c>
      <c r="Z105" s="191">
        <f t="shared" si="118"/>
        <v>0.18668213890380128</v>
      </c>
      <c r="AA105" s="153">
        <f t="shared" si="119"/>
        <v>1.457026815364348</v>
      </c>
      <c r="AB105" s="153">
        <f t="shared" si="175"/>
        <v>4.7600154408171828E-2</v>
      </c>
      <c r="AC105" s="153"/>
      <c r="AD105" s="153">
        <f t="shared" si="121"/>
        <v>1.1707280813686989</v>
      </c>
      <c r="AE105" s="317">
        <f t="shared" si="176"/>
        <v>1138.8924162257495</v>
      </c>
      <c r="AF105" s="463">
        <f t="shared" si="123"/>
        <v>3.0731612135928347E-2</v>
      </c>
      <c r="AH105" s="153">
        <f t="shared" si="124"/>
        <v>0.37032803990902063</v>
      </c>
      <c r="AI105" s="153">
        <f t="shared" si="177"/>
        <v>0.75</v>
      </c>
      <c r="AJ105" s="153">
        <f t="shared" si="178"/>
        <v>1.6444444444444444</v>
      </c>
      <c r="AL105" s="317">
        <f t="shared" si="127"/>
        <v>100</v>
      </c>
      <c r="AM105" s="147">
        <f t="shared" si="128"/>
        <v>87.118331488440603</v>
      </c>
      <c r="AO105" t="str">
        <f t="shared" si="159"/>
        <v/>
      </c>
      <c r="AP105" s="3" t="str">
        <f t="shared" si="129"/>
        <v/>
      </c>
      <c r="AR105" s="5">
        <f t="shared" si="160"/>
        <v>11.478640406843491</v>
      </c>
      <c r="AS105" s="5">
        <f t="shared" si="130"/>
        <v>5.6249999999999991</v>
      </c>
      <c r="AT105" s="5">
        <f t="shared" si="161"/>
        <v>5.8536404068434917</v>
      </c>
      <c r="AU105" s="153">
        <f t="shared" si="162"/>
        <v>0.49004061462247833</v>
      </c>
      <c r="AW105" s="5">
        <f t="shared" si="131"/>
        <v>1.7236920000000002</v>
      </c>
      <c r="AX105" s="5">
        <f t="shared" si="132"/>
        <v>17.536920000000002</v>
      </c>
      <c r="AY105" s="5">
        <f t="shared" si="133"/>
        <v>1.7372910952321905</v>
      </c>
      <c r="AZ105" s="5">
        <f t="shared" si="134"/>
        <v>12.834844328961385</v>
      </c>
      <c r="BA105" s="5">
        <f t="shared" si="135"/>
        <v>1.1707280813686984</v>
      </c>
      <c r="BB105" s="147">
        <f t="shared" si="136"/>
        <v>117.67280813686982</v>
      </c>
      <c r="BC105" s="5"/>
      <c r="BD105" s="153">
        <f t="shared" si="163"/>
        <v>0.30312145295527121</v>
      </c>
      <c r="BE105" s="153">
        <f t="shared" si="137"/>
        <v>0.30922060856011091</v>
      </c>
      <c r="BF105" s="153">
        <f t="shared" si="138"/>
        <v>0.30800797872262031</v>
      </c>
      <c r="BG105" s="153"/>
      <c r="BH105" s="463">
        <f t="shared" si="139"/>
        <v>3.2158915334600142E-2</v>
      </c>
      <c r="BI105" s="463">
        <f t="shared" si="140"/>
        <v>1.3172291721052221E-2</v>
      </c>
      <c r="BJ105" s="463">
        <f t="shared" si="141"/>
        <v>1.0889791436055076E-3</v>
      </c>
      <c r="BK105" s="463">
        <f t="shared" si="142"/>
        <v>7.0814240292376741E-3</v>
      </c>
      <c r="BL105">
        <f t="shared" si="143"/>
        <v>5.7999999999999996E-3</v>
      </c>
      <c r="BM105">
        <f t="shared" si="144"/>
        <v>3.2669374308165224E-6</v>
      </c>
      <c r="BN105">
        <f t="shared" si="179"/>
        <v>6.4026218772733803E-2</v>
      </c>
      <c r="BO105" s="147">
        <f t="shared" si="164"/>
        <v>64.026218772733799</v>
      </c>
      <c r="BP105" s="153">
        <f t="shared" si="146"/>
        <v>0.11125168195533001</v>
      </c>
      <c r="BQ105" s="153">
        <f t="shared" si="147"/>
        <v>0.11067985102699074</v>
      </c>
      <c r="BR105" s="463"/>
      <c r="BT105" s="147">
        <f t="shared" si="165"/>
        <v>221.93153298232076</v>
      </c>
      <c r="BU105" s="463">
        <f t="shared" si="148"/>
        <v>7.3506092193371758E-2</v>
      </c>
      <c r="BV105" s="463">
        <f t="shared" si="149"/>
        <v>7.611143826759513E-2</v>
      </c>
      <c r="BW105" s="463">
        <f t="shared" si="150"/>
        <v>4.7434457478397066E-3</v>
      </c>
      <c r="BX105" s="463">
        <f t="shared" si="151"/>
        <v>0</v>
      </c>
      <c r="BY105" s="463">
        <f t="shared" si="180"/>
        <v>0.17504591400726535</v>
      </c>
      <c r="BZ105" s="463">
        <f t="shared" si="166"/>
        <v>0.15436097620880659</v>
      </c>
      <c r="CA105" s="549">
        <f t="shared" si="153"/>
        <v>7.3506092193371758E-2</v>
      </c>
      <c r="CB105" s="147">
        <f t="shared" si="167"/>
        <v>248.55200620063712</v>
      </c>
      <c r="CC105" s="153">
        <f t="shared" si="168"/>
        <v>0.53450975795569167</v>
      </c>
      <c r="CD105" s="5">
        <f t="shared" si="169"/>
        <v>3.6</v>
      </c>
      <c r="CE105" s="153">
        <f t="shared" si="170"/>
        <v>0.8707199186246497</v>
      </c>
      <c r="CF105" s="5">
        <f t="shared" si="171"/>
        <v>87.071991862464969</v>
      </c>
      <c r="CG105">
        <f t="shared" si="172"/>
        <v>100</v>
      </c>
      <c r="CI105" s="59">
        <f t="shared" si="154"/>
        <v>-50</v>
      </c>
      <c r="CJ105">
        <f t="shared" si="155"/>
        <v>-50</v>
      </c>
    </row>
    <row r="106" spans="5:88" x14ac:dyDescent="0.25">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5">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5">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3">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5">
      <c r="E110" s="150">
        <v>0.1</v>
      </c>
      <c r="F110" s="191">
        <v>1.0000000000000001E-9</v>
      </c>
      <c r="G110" s="191">
        <f t="shared" ref="G110:G141" si="183">IF(PLOT_TYPE=1, E110/100*Iout2, min_I*EXP(Q110*rr/100))</f>
        <v>1E-4</v>
      </c>
      <c r="H110" s="191">
        <f t="shared" ref="H110:H141" si="184">F110*Vout</f>
        <v>2E-8</v>
      </c>
      <c r="I110" s="191">
        <f t="shared" ref="I110:I141" si="185">Vout2*G110</f>
        <v>1.6000000000000001E-3</v>
      </c>
      <c r="J110" s="472">
        <f t="shared" ref="J110:J173" si="186">VIN_min</f>
        <v>9</v>
      </c>
      <c r="K110" s="386">
        <f t="shared" ref="K110:K173" si="187">(S110+Vfwd1)*Nps</f>
        <v>20.32</v>
      </c>
      <c r="L110" s="386">
        <f t="shared" ref="L110:L173" si="188">(Vout+Vfwd1)*Nps+J110</f>
        <v>29.32</v>
      </c>
      <c r="M110" s="386"/>
      <c r="N110" s="191">
        <f t="shared" ref="N110:N173" si="189">(Vout+Vfwd1)*Nps/((Vout+Vfwd1)*Nps+J110)</f>
        <v>0.69304229195088674</v>
      </c>
      <c r="O110" s="152">
        <f t="shared" ref="O110:O141" si="190">N110*J110*Isw_max*0.5*Efficiency*Pout/(Pout+Pout2)</f>
        <v>1.1695088676671213</v>
      </c>
      <c r="P110" s="152">
        <f t="shared" ref="P110:P141" si="191">N110*J110*Isw_max*0.5*Efficiency*(Pout2/Pout_total)</f>
        <v>1.6840927694406547</v>
      </c>
      <c r="Q110" s="191">
        <f t="shared" ref="Q110:Q173" si="192">O110/Vout</f>
        <v>5.8475443383356064E-2</v>
      </c>
      <c r="R110" s="191">
        <f t="shared" ref="R110:R141" si="193">O110/Vout2</f>
        <v>7.3094304229195078E-2</v>
      </c>
      <c r="S110" s="191">
        <f t="shared" ref="S110:S141" si="194">MIN(Vout,O110/F110)</f>
        <v>20</v>
      </c>
      <c r="T110" s="191">
        <f t="shared" ref="T110:T141" si="195">MIN(2*(Vout*F110+Vout2*G110)/(Efficiency*J110*N110), Isw_max)</f>
        <v>5.7004698162729664E-4</v>
      </c>
      <c r="U110" s="191">
        <f t="shared" ref="U110:U173" si="196">L*T110/J110*1000000</f>
        <v>9.5007830271216093E-3</v>
      </c>
      <c r="V110" s="191">
        <f t="shared" ref="V110:V173" si="197">L*T110/K110*1000000</f>
        <v>4.208023978547957E-3</v>
      </c>
      <c r="W110" s="175">
        <f t="shared" ref="W110:W173" si="198">IF(1/((350000*L)*(1/J110+1/K110))&gt;Isw_min, 350, 0.001/((Isw_min*L)*(1/J110+1/K110)))</f>
        <v>277.21691678035478</v>
      </c>
      <c r="X110" s="386">
        <f t="shared" ref="X110:X173" si="199">MIN(1/(U110+V110)*1000, 350)</f>
        <v>350</v>
      </c>
      <c r="Z110" s="191">
        <f t="shared" ref="Z110:Z173" si="200">1/((W110*1000*L)*(1/J110+1/K110))</f>
        <v>0.14999999999999997</v>
      </c>
      <c r="AA110" s="153">
        <f t="shared" ref="AA110:AA173" si="201">L*Z110/K110*1000000</f>
        <v>1.1072834645669287</v>
      </c>
      <c r="AB110" s="153">
        <f t="shared" ref="AB110:AB141" si="202">0.5*AA110*Z110*Nps*W110/1000*(Pout/(Pout+Pout2))</f>
        <v>1.2789904502046381E-2</v>
      </c>
      <c r="AC110" s="153"/>
      <c r="AD110" s="153">
        <f t="shared" ref="AD110:AD173" si="203">L*Isw_min/K110*1000000</f>
        <v>1.1072834645669289</v>
      </c>
      <c r="AE110" s="317">
        <f t="shared" ref="AE110:AE141" si="204">MAX(10, F110/(0.5*AD110/1000000*Isw_min*Nps)/1000*Pout_total/Pout)</f>
        <v>10</v>
      </c>
      <c r="AF110" s="463">
        <f t="shared" ref="AF110:AF141" si="205">0.5*AD110/1000000*Isw_min*Nps*W110*1000*(Pout/Pout_total)</f>
        <v>2.3021828103683497E-2</v>
      </c>
      <c r="AH110" s="153">
        <f t="shared" ref="AH110:AH141" si="206">SQRT((H110+I110)/(0.5*L*Fsw_DCM))</f>
        <v>7.8072493784394304E-3</v>
      </c>
      <c r="AI110" s="153">
        <f t="shared" ref="AI110:AI141" si="207">MAX(IF(F110&gt;AB110,T110,AH110),Isw_min)</f>
        <v>0.15</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2.5</v>
      </c>
      <c r="AT110" s="5">
        <f t="shared" ref="AT110:AT114" si="214">AR110-AS110</f>
        <v>97.5</v>
      </c>
      <c r="AU110" s="153">
        <f t="shared" ref="AU110:AU114" si="215">AS110/AR110</f>
        <v>2.5000000000000001E-2</v>
      </c>
      <c r="AW110" s="5">
        <f t="shared" ref="AW110:AW169" si="216">F110*AS110/Vout_ripple*1000</f>
        <v>1.2500000000000001E-8</v>
      </c>
      <c r="AX110" s="5"/>
      <c r="AY110" s="5">
        <f t="shared" ref="AY110:AY169" si="217">G110*AS110/Vout_ripple2*1000</f>
        <v>1.5625000000000001E-3</v>
      </c>
      <c r="AZ110" s="5"/>
      <c r="BA110" s="5">
        <f t="shared" ref="BA110:BA169" si="218">H110/Efficiency/J110*AT110/Vinripple1</f>
        <v>2.4074074074074075E-7</v>
      </c>
      <c r="BB110" s="5"/>
      <c r="BC110" s="5"/>
      <c r="BD110" s="153">
        <f t="shared" ref="BD110:BD169" si="219">AI110*SQRT(AU110/3)</f>
        <v>1.3693063937629152E-2</v>
      </c>
      <c r="BE110" s="153">
        <f t="shared" ref="BE110:BE169" si="220">AI110*Npri_sec1*SQRT((1-AU110)/3)*(Pout/Pout_total)</f>
        <v>8.5513156882435354E-2</v>
      </c>
      <c r="BF110" s="153">
        <f t="shared" ref="BF110:BF169" si="221">AI110*Npri_sec2*SQRT((1-AU110)/3)*(Pout2/Pout_total)</f>
        <v>8.5177811169170906E-2</v>
      </c>
      <c r="BG110" s="153"/>
      <c r="BH110" s="463">
        <f t="shared" ref="BH110:BH169" si="222">Rdson*BD110^2</f>
        <v>6.5624999999999982E-5</v>
      </c>
      <c r="BI110" s="463">
        <f t="shared" ref="BI110:BI169" si="223">0.5*L110*AI110*AM110*1000*Trise</f>
        <v>2.1990000000000001E-4</v>
      </c>
      <c r="BJ110" s="463">
        <f t="shared" ref="BJ110:BJ169" si="224">Qg*Vdd*AM110*1000</f>
        <v>1.25E-4</v>
      </c>
      <c r="BK110" s="463">
        <f t="shared" ref="BK110:BK169" si="225">0.5*(Coss+Csw)*L110^2*AM110*1000</f>
        <v>4.2983120000000011E-4</v>
      </c>
      <c r="BL110">
        <f t="shared" ref="BL110:BL169" si="226">J110*IQ</f>
        <v>2.6099999999999999E-3</v>
      </c>
      <c r="BM110">
        <f t="shared" ref="BM110:BM141" si="227">(J110-Vdd)*Qg*AM110</f>
        <v>9.9999999999999995E-8</v>
      </c>
      <c r="BN110">
        <f t="shared" ref="BN110:BN141" si="228">(BI110+BJ110+BK110+BL110+BM110+BH110*(1+RdsonTC*(Ta-25)))/(1-BH110*RdsonTC*ThetaJA)</f>
        <v>3.4593574602514994E-3</v>
      </c>
      <c r="BO110" s="147">
        <f t="shared" ref="BO110:BO169" si="229">SUM(BH110:BL110)*1000</f>
        <v>3.4503561999999999</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1.4999999999999999E-4</v>
      </c>
      <c r="BV110" s="463">
        <f t="shared" ref="BV110:BV169" si="234">Rdcr_sec*BE110^2</f>
        <v>5.8207500000000013E-3</v>
      </c>
      <c r="BW110" s="463">
        <f t="shared" ref="BW110:BW169" si="235">Rdcr_sec2*BF110^2</f>
        <v>3.6276297577854681E-4</v>
      </c>
      <c r="BX110" s="463">
        <f t="shared" ref="BX110:BX169" si="236">AI110^2.5*AM110^2.5*k_core</f>
        <v>0</v>
      </c>
      <c r="BY110" s="463">
        <f t="shared" si="180"/>
        <v>7.0971305143282372E-3</v>
      </c>
      <c r="BZ110" s="463">
        <f t="shared" si="166"/>
        <v>6.3335129757785477E-3</v>
      </c>
      <c r="CA110" s="549">
        <f t="shared" ref="CA110:CA141" si="237">0.5*Lleak*0.000000001*AI110^2*AM110*1000</f>
        <v>3.3750000000000002E-4</v>
      </c>
      <c r="CB110" s="147">
        <f t="shared" ref="CB110:CB169" si="238">SUM(BU110:CA110)*1000</f>
        <v>20.101656465885334</v>
      </c>
      <c r="CC110" s="153">
        <f t="shared" si="168"/>
        <v>1.0933988374579736E-2</v>
      </c>
      <c r="CD110" s="5">
        <f t="shared" ref="CD110:CD169" si="239">MIN(H110+I110,O110+P110)</f>
        <v>1.6000200000000002E-3</v>
      </c>
      <c r="CE110" s="153">
        <f t="shared" ref="CE110:CE169" si="240">CD110/(CD110+CC110)</f>
        <v>0.1276542947940745</v>
      </c>
      <c r="CF110" s="5">
        <f t="shared" ref="CF110:CF169" si="241">CE110*100</f>
        <v>12.76542947940745</v>
      </c>
      <c r="CG110">
        <f t="shared" ref="CG110:CG169" si="242">F110/Iout*100</f>
        <v>9.9999999999999995E-7</v>
      </c>
      <c r="CI110" s="59">
        <f t="shared" ref="CI110:CI141" si="243">IF(ABS(F110-Ioutmax_Vinmin)&lt;Iout/200, AM110, -50)</f>
        <v>-50</v>
      </c>
      <c r="CJ110">
        <f t="shared" ref="CJ110:CJ141" si="244">IF(ABS(F110-Ioutmax_Vinmin)&lt;Iout/200, (O110+P110)*CE110, -50)</f>
        <v>-50</v>
      </c>
    </row>
    <row r="111" spans="5:88" x14ac:dyDescent="0.25">
      <c r="E111" s="150">
        <v>1</v>
      </c>
      <c r="F111" s="191">
        <f t="shared" ref="F111:F142" si="245">IF(PLOT_TYPE=1, E111/100*Iout_max, min_I*EXP(O111*rr/100))</f>
        <v>1E-3</v>
      </c>
      <c r="G111" s="191">
        <f t="shared" si="183"/>
        <v>1E-3</v>
      </c>
      <c r="H111" s="191">
        <f t="shared" si="184"/>
        <v>0.02</v>
      </c>
      <c r="I111" s="191">
        <f t="shared" si="185"/>
        <v>1.6E-2</v>
      </c>
      <c r="J111" s="472">
        <f t="shared" si="186"/>
        <v>9</v>
      </c>
      <c r="K111" s="386">
        <f t="shared" si="187"/>
        <v>20.32</v>
      </c>
      <c r="L111" s="386">
        <f t="shared" si="188"/>
        <v>29.32</v>
      </c>
      <c r="M111" s="386"/>
      <c r="N111" s="191">
        <f t="shared" si="189"/>
        <v>0.69304229195088674</v>
      </c>
      <c r="O111" s="152">
        <f t="shared" si="190"/>
        <v>1.1695088676671213</v>
      </c>
      <c r="P111" s="152">
        <f t="shared" si="191"/>
        <v>1.6840927694406547</v>
      </c>
      <c r="Q111" s="191">
        <f t="shared" si="192"/>
        <v>5.8475443383356064E-2</v>
      </c>
      <c r="R111" s="191">
        <f t="shared" si="193"/>
        <v>7.3094304229195078E-2</v>
      </c>
      <c r="S111" s="191">
        <f t="shared" si="194"/>
        <v>20</v>
      </c>
      <c r="T111" s="191">
        <f t="shared" si="195"/>
        <v>1.2825896762904639E-2</v>
      </c>
      <c r="U111" s="191">
        <f t="shared" si="196"/>
        <v>0.21376494604841065</v>
      </c>
      <c r="V111" s="191">
        <f t="shared" si="197"/>
        <v>9.4679356025378733E-2</v>
      </c>
      <c r="W111" s="175">
        <f t="shared" si="198"/>
        <v>277.21691678035478</v>
      </c>
      <c r="X111" s="386">
        <f t="shared" si="199"/>
        <v>350</v>
      </c>
      <c r="Z111" s="191">
        <f t="shared" si="200"/>
        <v>0.14999999999999997</v>
      </c>
      <c r="AA111" s="153">
        <f t="shared" si="201"/>
        <v>1.1072834645669287</v>
      </c>
      <c r="AB111" s="153">
        <f t="shared" si="202"/>
        <v>1.2789904502046381E-2</v>
      </c>
      <c r="AC111" s="153"/>
      <c r="AD111" s="153">
        <f t="shared" si="203"/>
        <v>1.1072834645669289</v>
      </c>
      <c r="AE111" s="317">
        <f t="shared" si="204"/>
        <v>12.041481481481481</v>
      </c>
      <c r="AF111" s="463">
        <f t="shared" si="205"/>
        <v>2.3021828103683497E-2</v>
      </c>
      <c r="AH111" s="153">
        <f t="shared" si="206"/>
        <v>3.7032803990902065E-2</v>
      </c>
      <c r="AI111" s="153">
        <f t="shared" si="207"/>
        <v>0.15</v>
      </c>
      <c r="AJ111" s="153">
        <f t="shared" si="208"/>
        <v>1.0068808465608465</v>
      </c>
      <c r="AL111" s="317">
        <f t="shared" si="209"/>
        <v>1</v>
      </c>
      <c r="AM111" s="147">
        <f t="shared" si="210"/>
        <v>12.041481481481481</v>
      </c>
      <c r="AO111" s="147">
        <f t="shared" si="211"/>
        <v>1</v>
      </c>
      <c r="AP111" s="147">
        <f t="shared" si="212"/>
        <v>12.041481481481481</v>
      </c>
      <c r="AR111" s="5">
        <f t="shared" si="160"/>
        <v>83.046259842519689</v>
      </c>
      <c r="AS111" s="5">
        <f t="shared" si="213"/>
        <v>2.5</v>
      </c>
      <c r="AT111" s="5">
        <f t="shared" si="214"/>
        <v>80.546259842519689</v>
      </c>
      <c r="AU111" s="153">
        <f t="shared" si="215"/>
        <v>3.0103703703703702E-2</v>
      </c>
      <c r="AW111" s="5">
        <f t="shared" si="216"/>
        <v>1.2500000000000001E-2</v>
      </c>
      <c r="AX111" s="5"/>
      <c r="AY111" s="5">
        <f t="shared" si="217"/>
        <v>1.5625E-2</v>
      </c>
      <c r="AZ111" s="5"/>
      <c r="BA111" s="5">
        <f t="shared" si="218"/>
        <v>0.19887965393214738</v>
      </c>
      <c r="BB111" s="5"/>
      <c r="BC111" s="5"/>
      <c r="BD111" s="153">
        <f t="shared" si="219"/>
        <v>1.5025903559446193E-2</v>
      </c>
      <c r="BE111" s="153">
        <f t="shared" si="220"/>
        <v>8.5289051010210101E-2</v>
      </c>
      <c r="BF111" s="153">
        <f t="shared" si="221"/>
        <v>8.4954584143503403E-2</v>
      </c>
      <c r="BG111" s="153"/>
      <c r="BH111" s="463">
        <f t="shared" si="222"/>
        <v>7.9022222222222208E-5</v>
      </c>
      <c r="BI111" s="463">
        <f t="shared" si="223"/>
        <v>2.6479217777777776E-4</v>
      </c>
      <c r="BJ111" s="463">
        <f t="shared" si="224"/>
        <v>1.5051851851851853E-4</v>
      </c>
      <c r="BK111" s="463">
        <f t="shared" si="225"/>
        <v>5.1758044349629645E-4</v>
      </c>
      <c r="BL111">
        <f t="shared" si="226"/>
        <v>2.6099999999999999E-3</v>
      </c>
      <c r="BM111">
        <f t="shared" si="227"/>
        <v>1.2041481481481483E-7</v>
      </c>
      <c r="BN111">
        <f t="shared" si="228"/>
        <v>3.632754740940651E-3</v>
      </c>
      <c r="BO111" s="147">
        <f t="shared" si="229"/>
        <v>3.6219133620148147</v>
      </c>
      <c r="BP111" s="153">
        <f t="shared" si="230"/>
        <v>4.0000000000000002E-4</v>
      </c>
      <c r="BQ111" s="153">
        <f t="shared" si="231"/>
        <v>4.0000000000000002E-4</v>
      </c>
      <c r="BR111" s="463"/>
      <c r="BT111" s="147">
        <f t="shared" si="232"/>
        <v>0.8</v>
      </c>
      <c r="BU111" s="463">
        <f t="shared" si="233"/>
        <v>1.8062222222222222E-4</v>
      </c>
      <c r="BV111" s="463">
        <f t="shared" si="234"/>
        <v>5.7902808888888879E-3</v>
      </c>
      <c r="BW111" s="463">
        <f t="shared" si="235"/>
        <v>3.6086406834978001E-4</v>
      </c>
      <c r="BX111" s="463">
        <f t="shared" si="236"/>
        <v>0</v>
      </c>
      <c r="BY111" s="463">
        <f t="shared" si="180"/>
        <v>7.0951732398003868E-3</v>
      </c>
      <c r="BZ111" s="463">
        <f t="shared" si="166"/>
        <v>6.33176717946089E-3</v>
      </c>
      <c r="CA111" s="549">
        <f t="shared" si="237"/>
        <v>4.0640000000000001E-4</v>
      </c>
      <c r="CB111" s="147">
        <f t="shared" si="238"/>
        <v>20.165107598722166</v>
      </c>
      <c r="CC111" s="153">
        <f t="shared" si="168"/>
        <v>1.1934327980741037E-2</v>
      </c>
      <c r="CD111" s="5">
        <f t="shared" si="239"/>
        <v>3.6000000000000004E-2</v>
      </c>
      <c r="CE111" s="153">
        <f t="shared" si="240"/>
        <v>0.75102753113518173</v>
      </c>
      <c r="CF111" s="5">
        <f t="shared" si="241"/>
        <v>75.102753113518176</v>
      </c>
      <c r="CG111">
        <f t="shared" si="242"/>
        <v>1</v>
      </c>
      <c r="CI111" s="59">
        <f t="shared" si="243"/>
        <v>-50</v>
      </c>
      <c r="CJ111">
        <f t="shared" si="244"/>
        <v>-50</v>
      </c>
    </row>
    <row r="112" spans="5:88" x14ac:dyDescent="0.25">
      <c r="E112" s="150">
        <v>2</v>
      </c>
      <c r="F112" s="191">
        <f t="shared" si="245"/>
        <v>2E-3</v>
      </c>
      <c r="G112" s="191">
        <f t="shared" si="183"/>
        <v>2E-3</v>
      </c>
      <c r="H112" s="191">
        <f t="shared" si="184"/>
        <v>0.04</v>
      </c>
      <c r="I112" s="191">
        <f t="shared" si="185"/>
        <v>3.2000000000000001E-2</v>
      </c>
      <c r="J112" s="472">
        <f t="shared" si="186"/>
        <v>9</v>
      </c>
      <c r="K112" s="386">
        <f t="shared" si="187"/>
        <v>20.32</v>
      </c>
      <c r="L112" s="386">
        <f t="shared" si="188"/>
        <v>29.32</v>
      </c>
      <c r="M112" s="386"/>
      <c r="N112" s="191">
        <f t="shared" si="189"/>
        <v>0.69304229195088674</v>
      </c>
      <c r="O112" s="152">
        <f t="shared" si="190"/>
        <v>1.1695088676671213</v>
      </c>
      <c r="P112" s="152">
        <f t="shared" si="191"/>
        <v>1.6840927694406547</v>
      </c>
      <c r="Q112" s="191">
        <f t="shared" si="192"/>
        <v>5.8475443383356064E-2</v>
      </c>
      <c r="R112" s="191">
        <f t="shared" si="193"/>
        <v>7.3094304229195078E-2</v>
      </c>
      <c r="S112" s="191">
        <f t="shared" si="194"/>
        <v>20</v>
      </c>
      <c r="T112" s="191">
        <f t="shared" si="195"/>
        <v>2.5651793525809277E-2</v>
      </c>
      <c r="U112" s="191">
        <f t="shared" si="196"/>
        <v>0.4275298920968213</v>
      </c>
      <c r="V112" s="191">
        <f t="shared" si="197"/>
        <v>0.18935871205075747</v>
      </c>
      <c r="W112" s="175">
        <f t="shared" si="198"/>
        <v>277.21691678035478</v>
      </c>
      <c r="X112" s="386">
        <f t="shared" si="199"/>
        <v>350</v>
      </c>
      <c r="Z112" s="191">
        <f t="shared" si="200"/>
        <v>0.14999999999999997</v>
      </c>
      <c r="AA112" s="153">
        <f t="shared" si="201"/>
        <v>1.1072834645669287</v>
      </c>
      <c r="AB112" s="153">
        <f t="shared" si="202"/>
        <v>1.2789904502046381E-2</v>
      </c>
      <c r="AC112" s="153"/>
      <c r="AD112" s="153">
        <f t="shared" si="203"/>
        <v>1.1072834645669289</v>
      </c>
      <c r="AE112" s="317">
        <f t="shared" si="204"/>
        <v>24.082962962962963</v>
      </c>
      <c r="AF112" s="463">
        <f t="shared" si="205"/>
        <v>2.3021828103683497E-2</v>
      </c>
      <c r="AH112" s="153">
        <f t="shared" si="206"/>
        <v>5.2372293656638182E-2</v>
      </c>
      <c r="AI112" s="153">
        <f t="shared" si="207"/>
        <v>0.15</v>
      </c>
      <c r="AJ112" s="153">
        <f t="shared" si="208"/>
        <v>1.0137616931216931</v>
      </c>
      <c r="AL112" s="317">
        <f t="shared" si="209"/>
        <v>2</v>
      </c>
      <c r="AM112" s="147">
        <f t="shared" si="210"/>
        <v>24.082962962962963</v>
      </c>
      <c r="AO112" s="147">
        <f t="shared" si="211"/>
        <v>2</v>
      </c>
      <c r="AP112" s="147">
        <f t="shared" si="212"/>
        <v>24.082962962962963</v>
      </c>
      <c r="AR112" s="5">
        <f t="shared" si="160"/>
        <v>41.523129921259844</v>
      </c>
      <c r="AS112" s="5">
        <f t="shared" si="213"/>
        <v>2.5</v>
      </c>
      <c r="AT112" s="5">
        <f t="shared" si="214"/>
        <v>39.023129921259844</v>
      </c>
      <c r="AU112" s="153">
        <f t="shared" si="215"/>
        <v>6.0207407407407404E-2</v>
      </c>
      <c r="AW112" s="5">
        <f t="shared" si="216"/>
        <v>2.5000000000000001E-2</v>
      </c>
      <c r="AX112" s="5"/>
      <c r="AY112" s="5">
        <f t="shared" si="217"/>
        <v>3.125E-2</v>
      </c>
      <c r="AZ112" s="5"/>
      <c r="BA112" s="5">
        <f t="shared" si="218"/>
        <v>0.19270681442597454</v>
      </c>
      <c r="BB112" s="5"/>
      <c r="BC112" s="5"/>
      <c r="BD112" s="153">
        <f t="shared" si="219"/>
        <v>2.1249836600678966E-2</v>
      </c>
      <c r="BE112" s="153">
        <f t="shared" si="220"/>
        <v>8.3955014409172982E-2</v>
      </c>
      <c r="BF112" s="153">
        <f t="shared" si="221"/>
        <v>8.3625779058548788E-2</v>
      </c>
      <c r="BG112" s="153"/>
      <c r="BH112" s="463">
        <f t="shared" si="222"/>
        <v>1.5804444444444439E-4</v>
      </c>
      <c r="BI112" s="463">
        <f t="shared" si="223"/>
        <v>5.2958435555555553E-4</v>
      </c>
      <c r="BJ112" s="463">
        <f t="shared" si="224"/>
        <v>3.0103703703703705E-4</v>
      </c>
      <c r="BK112" s="463">
        <f t="shared" si="225"/>
        <v>1.0351608869925929E-3</v>
      </c>
      <c r="BL112">
        <f t="shared" si="226"/>
        <v>2.6099999999999999E-3</v>
      </c>
      <c r="BM112">
        <f t="shared" si="227"/>
        <v>2.4082962962962966E-7</v>
      </c>
      <c r="BN112">
        <f t="shared" si="228"/>
        <v>4.6555393054609762E-3</v>
      </c>
      <c r="BO112" s="147">
        <f t="shared" si="229"/>
        <v>4.63382672402963</v>
      </c>
      <c r="BP112" s="153">
        <f t="shared" si="230"/>
        <v>8.0000000000000004E-4</v>
      </c>
      <c r="BQ112" s="153">
        <f t="shared" si="231"/>
        <v>8.0000000000000004E-4</v>
      </c>
      <c r="BR112" s="463"/>
      <c r="BT112" s="147">
        <f t="shared" si="232"/>
        <v>1.6</v>
      </c>
      <c r="BU112" s="463">
        <f t="shared" si="233"/>
        <v>3.6124444444444434E-4</v>
      </c>
      <c r="BV112" s="463">
        <f t="shared" si="234"/>
        <v>5.6105617777777771E-3</v>
      </c>
      <c r="BW112" s="463">
        <f t="shared" si="235"/>
        <v>3.4966354615746089E-4</v>
      </c>
      <c r="BX112" s="463">
        <f t="shared" si="236"/>
        <v>0</v>
      </c>
      <c r="BY112" s="463">
        <f t="shared" si="180"/>
        <v>7.0836284560360663E-3</v>
      </c>
      <c r="BZ112" s="463">
        <f t="shared" si="166"/>
        <v>6.3214697683796825E-3</v>
      </c>
      <c r="CA112" s="549">
        <f t="shared" si="237"/>
        <v>8.1280000000000002E-4</v>
      </c>
      <c r="CB112" s="147">
        <f t="shared" si="238"/>
        <v>20.53936799279543</v>
      </c>
      <c r="CC112" s="153">
        <f t="shared" si="168"/>
        <v>1.4151967761497044E-2</v>
      </c>
      <c r="CD112" s="5">
        <f t="shared" si="239"/>
        <v>7.2000000000000008E-2</v>
      </c>
      <c r="CE112" s="153">
        <f t="shared" si="240"/>
        <v>0.83573250699652823</v>
      </c>
      <c r="CF112" s="5">
        <f t="shared" si="241"/>
        <v>83.573250699652817</v>
      </c>
      <c r="CG112">
        <f t="shared" si="242"/>
        <v>2</v>
      </c>
      <c r="CI112" s="59">
        <f t="shared" si="243"/>
        <v>-50</v>
      </c>
      <c r="CJ112">
        <f t="shared" si="244"/>
        <v>-50</v>
      </c>
    </row>
    <row r="113" spans="5:88" x14ac:dyDescent="0.25">
      <c r="E113" s="150">
        <v>3</v>
      </c>
      <c r="F113" s="191">
        <f t="shared" si="245"/>
        <v>3.0000000000000001E-3</v>
      </c>
      <c r="G113" s="191">
        <f t="shared" si="183"/>
        <v>3.0000000000000001E-3</v>
      </c>
      <c r="H113" s="191">
        <f t="shared" si="184"/>
        <v>0.06</v>
      </c>
      <c r="I113" s="191">
        <f t="shared" si="185"/>
        <v>4.8000000000000001E-2</v>
      </c>
      <c r="J113" s="472">
        <f t="shared" si="186"/>
        <v>9</v>
      </c>
      <c r="K113" s="386">
        <f t="shared" si="187"/>
        <v>20.32</v>
      </c>
      <c r="L113" s="386">
        <f t="shared" si="188"/>
        <v>29.32</v>
      </c>
      <c r="M113" s="386"/>
      <c r="N113" s="191">
        <f t="shared" si="189"/>
        <v>0.69304229195088674</v>
      </c>
      <c r="O113" s="152">
        <f t="shared" si="190"/>
        <v>1.1695088676671213</v>
      </c>
      <c r="P113" s="152">
        <f t="shared" si="191"/>
        <v>1.6840927694406547</v>
      </c>
      <c r="Q113" s="191">
        <f t="shared" si="192"/>
        <v>5.8475443383356064E-2</v>
      </c>
      <c r="R113" s="191">
        <f t="shared" si="193"/>
        <v>7.3094304229195078E-2</v>
      </c>
      <c r="S113" s="191">
        <f t="shared" si="194"/>
        <v>20</v>
      </c>
      <c r="T113" s="191">
        <f t="shared" si="195"/>
        <v>3.8477690288713916E-2</v>
      </c>
      <c r="U113" s="191">
        <f t="shared" si="196"/>
        <v>0.64129483814523192</v>
      </c>
      <c r="V113" s="191">
        <f t="shared" si="197"/>
        <v>0.28403806807613619</v>
      </c>
      <c r="W113" s="175">
        <f t="shared" si="198"/>
        <v>277.21691678035478</v>
      </c>
      <c r="X113" s="386">
        <f t="shared" si="199"/>
        <v>350</v>
      </c>
      <c r="Z113" s="191">
        <f t="shared" si="200"/>
        <v>0.14999999999999997</v>
      </c>
      <c r="AA113" s="153">
        <f t="shared" si="201"/>
        <v>1.1072834645669287</v>
      </c>
      <c r="AB113" s="153">
        <f t="shared" si="202"/>
        <v>1.2789904502046381E-2</v>
      </c>
      <c r="AC113" s="153"/>
      <c r="AD113" s="153">
        <f t="shared" si="203"/>
        <v>1.1072834645669289</v>
      </c>
      <c r="AE113" s="317">
        <f t="shared" si="204"/>
        <v>36.124444444444443</v>
      </c>
      <c r="AF113" s="463">
        <f t="shared" si="205"/>
        <v>2.3021828103683497E-2</v>
      </c>
      <c r="AH113" s="153">
        <f t="shared" si="206"/>
        <v>6.4142698058981859E-2</v>
      </c>
      <c r="AI113" s="153">
        <f t="shared" si="207"/>
        <v>0.15</v>
      </c>
      <c r="AJ113" s="153">
        <f t="shared" si="208"/>
        <v>1.0206425396825396</v>
      </c>
      <c r="AL113" s="317">
        <f t="shared" si="209"/>
        <v>3</v>
      </c>
      <c r="AM113" s="147">
        <f t="shared" si="210"/>
        <v>36.124444444444443</v>
      </c>
      <c r="AO113" s="147">
        <f t="shared" si="211"/>
        <v>3</v>
      </c>
      <c r="AP113" s="147">
        <f t="shared" si="212"/>
        <v>36.124444444444443</v>
      </c>
      <c r="AR113" s="5">
        <f t="shared" si="160"/>
        <v>27.68208661417323</v>
      </c>
      <c r="AS113" s="5">
        <f t="shared" si="213"/>
        <v>2.5</v>
      </c>
      <c r="AT113" s="5">
        <f t="shared" si="214"/>
        <v>25.18208661417323</v>
      </c>
      <c r="AU113" s="153">
        <f t="shared" si="215"/>
        <v>9.0311111111111106E-2</v>
      </c>
      <c r="AW113" s="5">
        <f t="shared" si="216"/>
        <v>3.7499999999999999E-2</v>
      </c>
      <c r="AX113" s="5"/>
      <c r="AY113" s="5">
        <f t="shared" si="217"/>
        <v>4.6875E-2</v>
      </c>
      <c r="AZ113" s="5"/>
      <c r="BA113" s="5">
        <f t="shared" si="218"/>
        <v>0.1865339749198017</v>
      </c>
      <c r="BB113" s="5"/>
      <c r="BC113" s="5"/>
      <c r="BD113" s="153">
        <f t="shared" si="219"/>
        <v>2.6025628394590845E-2</v>
      </c>
      <c r="BE113" s="153">
        <f t="shared" si="220"/>
        <v>8.2599435026316406E-2</v>
      </c>
      <c r="BF113" s="153">
        <f t="shared" si="221"/>
        <v>8.2275515673272043E-2</v>
      </c>
      <c r="BG113" s="153"/>
      <c r="BH113" s="463">
        <f t="shared" si="222"/>
        <v>2.3706666666666664E-4</v>
      </c>
      <c r="BI113" s="463">
        <f t="shared" si="223"/>
        <v>7.943765333333334E-4</v>
      </c>
      <c r="BJ113" s="463">
        <f t="shared" si="224"/>
        <v>4.5155555555555547E-4</v>
      </c>
      <c r="BK113" s="463">
        <f t="shared" si="225"/>
        <v>1.5527413304888889E-3</v>
      </c>
      <c r="BL113">
        <f t="shared" si="226"/>
        <v>2.6099999999999999E-3</v>
      </c>
      <c r="BM113">
        <f t="shared" si="227"/>
        <v>3.6124444444444443E-7</v>
      </c>
      <c r="BN113">
        <f t="shared" si="228"/>
        <v>5.6783536948654791E-3</v>
      </c>
      <c r="BO113" s="147">
        <f t="shared" si="229"/>
        <v>5.6457400860444436</v>
      </c>
      <c r="BP113" s="153">
        <f t="shared" si="230"/>
        <v>1.2000000000000001E-3</v>
      </c>
      <c r="BQ113" s="153">
        <f t="shared" si="231"/>
        <v>1.2000000000000001E-3</v>
      </c>
      <c r="BR113" s="463"/>
      <c r="BT113" s="147">
        <f t="shared" si="232"/>
        <v>2.4000000000000004</v>
      </c>
      <c r="BU113" s="463">
        <f t="shared" si="233"/>
        <v>5.4186666666666665E-4</v>
      </c>
      <c r="BV113" s="463">
        <f t="shared" si="234"/>
        <v>5.4308426666666654E-3</v>
      </c>
      <c r="BW113" s="463">
        <f t="shared" si="235"/>
        <v>3.3846302396514172E-4</v>
      </c>
      <c r="BX113" s="463">
        <f t="shared" si="236"/>
        <v>0</v>
      </c>
      <c r="BY113" s="463">
        <f t="shared" si="180"/>
        <v>7.0720836913023763E-3</v>
      </c>
      <c r="BZ113" s="463">
        <f t="shared" si="166"/>
        <v>6.3111723572984741E-3</v>
      </c>
      <c r="CA113" s="549">
        <f t="shared" si="237"/>
        <v>1.2191999999999999E-3</v>
      </c>
      <c r="CB113" s="147">
        <f t="shared" si="238"/>
        <v>20.913628405899324</v>
      </c>
      <c r="CC113" s="153">
        <f t="shared" si="168"/>
        <v>1.6369637386167854E-2</v>
      </c>
      <c r="CD113" s="5">
        <f t="shared" si="239"/>
        <v>0.108</v>
      </c>
      <c r="CE113" s="153">
        <f t="shared" si="240"/>
        <v>0.86837915000636279</v>
      </c>
      <c r="CF113" s="5">
        <f t="shared" si="241"/>
        <v>86.837915000636272</v>
      </c>
      <c r="CG113">
        <f t="shared" si="242"/>
        <v>3</v>
      </c>
      <c r="CI113" s="59">
        <f t="shared" si="243"/>
        <v>-50</v>
      </c>
      <c r="CJ113">
        <f t="shared" si="244"/>
        <v>-50</v>
      </c>
    </row>
    <row r="114" spans="5:88" x14ac:dyDescent="0.25">
      <c r="E114" s="150">
        <v>4</v>
      </c>
      <c r="F114" s="191">
        <f t="shared" si="245"/>
        <v>4.0000000000000001E-3</v>
      </c>
      <c r="G114" s="191">
        <f t="shared" si="183"/>
        <v>4.0000000000000001E-3</v>
      </c>
      <c r="H114" s="191">
        <f t="shared" si="184"/>
        <v>0.08</v>
      </c>
      <c r="I114" s="191">
        <f t="shared" si="185"/>
        <v>6.4000000000000001E-2</v>
      </c>
      <c r="J114" s="472">
        <f t="shared" si="186"/>
        <v>9</v>
      </c>
      <c r="K114" s="386">
        <f t="shared" si="187"/>
        <v>20.32</v>
      </c>
      <c r="L114" s="386">
        <f t="shared" si="188"/>
        <v>29.32</v>
      </c>
      <c r="M114" s="386"/>
      <c r="N114" s="191">
        <f t="shared" si="189"/>
        <v>0.69304229195088674</v>
      </c>
      <c r="O114" s="152">
        <f t="shared" si="190"/>
        <v>1.1695088676671213</v>
      </c>
      <c r="P114" s="152">
        <f t="shared" si="191"/>
        <v>1.6840927694406547</v>
      </c>
      <c r="Q114" s="191">
        <f t="shared" si="192"/>
        <v>5.8475443383356064E-2</v>
      </c>
      <c r="R114" s="191">
        <f t="shared" si="193"/>
        <v>7.3094304229195078E-2</v>
      </c>
      <c r="S114" s="191">
        <f t="shared" si="194"/>
        <v>20</v>
      </c>
      <c r="T114" s="191">
        <f t="shared" si="195"/>
        <v>5.1303587051618554E-2</v>
      </c>
      <c r="U114" s="191">
        <f t="shared" si="196"/>
        <v>0.85505978419364259</v>
      </c>
      <c r="V114" s="191">
        <f t="shared" si="197"/>
        <v>0.37871742410151493</v>
      </c>
      <c r="W114" s="175">
        <f t="shared" si="198"/>
        <v>277.21691678035478</v>
      </c>
      <c r="X114" s="386">
        <f t="shared" si="199"/>
        <v>350</v>
      </c>
      <c r="Z114" s="191">
        <f t="shared" si="200"/>
        <v>0.14999999999999997</v>
      </c>
      <c r="AA114" s="153">
        <f t="shared" si="201"/>
        <v>1.1072834645669287</v>
      </c>
      <c r="AB114" s="153">
        <f t="shared" si="202"/>
        <v>1.2789904502046381E-2</v>
      </c>
      <c r="AC114" s="153"/>
      <c r="AD114" s="153">
        <f t="shared" si="203"/>
        <v>1.1072834645669289</v>
      </c>
      <c r="AE114" s="317">
        <f t="shared" si="204"/>
        <v>48.165925925925926</v>
      </c>
      <c r="AF114" s="463">
        <f t="shared" si="205"/>
        <v>2.3021828103683497E-2</v>
      </c>
      <c r="AH114" s="153">
        <f t="shared" si="206"/>
        <v>7.406560798180413E-2</v>
      </c>
      <c r="AI114" s="153">
        <f t="shared" si="207"/>
        <v>0.15</v>
      </c>
      <c r="AJ114" s="153">
        <f t="shared" si="208"/>
        <v>1.0275233862433863</v>
      </c>
      <c r="AL114" s="317">
        <f t="shared" si="209"/>
        <v>4</v>
      </c>
      <c r="AM114" s="147">
        <f t="shared" si="210"/>
        <v>48.165925925925926</v>
      </c>
      <c r="AO114" s="147">
        <f t="shared" si="211"/>
        <v>4</v>
      </c>
      <c r="AP114" s="147">
        <f t="shared" si="212"/>
        <v>48.165925925925926</v>
      </c>
      <c r="AR114" s="5">
        <f t="shared" si="160"/>
        <v>20.761564960629922</v>
      </c>
      <c r="AS114" s="5">
        <f t="shared" si="213"/>
        <v>2.5</v>
      </c>
      <c r="AT114" s="5">
        <f t="shared" si="214"/>
        <v>18.261564960629922</v>
      </c>
      <c r="AU114" s="153">
        <f t="shared" si="215"/>
        <v>0.12041481481481481</v>
      </c>
      <c r="AW114" s="5">
        <f t="shared" si="216"/>
        <v>0.05</v>
      </c>
      <c r="AX114" s="5"/>
      <c r="AY114" s="5">
        <f t="shared" si="217"/>
        <v>6.25E-2</v>
      </c>
      <c r="AZ114" s="5"/>
      <c r="BA114" s="5">
        <f t="shared" si="218"/>
        <v>0.18036113541362886</v>
      </c>
      <c r="BB114" s="5"/>
      <c r="BC114" s="5"/>
      <c r="BD114" s="153">
        <f t="shared" si="219"/>
        <v>3.0051807118892385E-2</v>
      </c>
      <c r="BE114" s="153">
        <f t="shared" si="220"/>
        <v>8.1221234224117089E-2</v>
      </c>
      <c r="BF114" s="153">
        <f t="shared" si="221"/>
        <v>8.0902719580100951E-2</v>
      </c>
      <c r="BG114" s="153"/>
      <c r="BH114" s="463">
        <f t="shared" si="222"/>
        <v>3.1608888888888883E-4</v>
      </c>
      <c r="BI114" s="463">
        <f t="shared" si="223"/>
        <v>1.0591687111111111E-3</v>
      </c>
      <c r="BJ114" s="463">
        <f t="shared" si="224"/>
        <v>6.020740740740741E-4</v>
      </c>
      <c r="BK114" s="463">
        <f t="shared" si="225"/>
        <v>2.0703217739851858E-3</v>
      </c>
      <c r="BL114">
        <f t="shared" si="226"/>
        <v>2.6099999999999999E-3</v>
      </c>
      <c r="BM114">
        <f t="shared" si="227"/>
        <v>4.8165925925925931E-7</v>
      </c>
      <c r="BN114">
        <f t="shared" si="228"/>
        <v>6.7011979104587404E-3</v>
      </c>
      <c r="BO114" s="147">
        <f t="shared" si="229"/>
        <v>6.6576534480592597</v>
      </c>
      <c r="BP114" s="153">
        <f t="shared" si="230"/>
        <v>1.6000000000000001E-3</v>
      </c>
      <c r="BQ114" s="153">
        <f t="shared" si="231"/>
        <v>1.6000000000000001E-3</v>
      </c>
      <c r="BR114" s="463"/>
      <c r="BT114" s="147">
        <f t="shared" si="232"/>
        <v>3.2</v>
      </c>
      <c r="BU114" s="463">
        <f t="shared" si="233"/>
        <v>7.224888888888889E-4</v>
      </c>
      <c r="BV114" s="463">
        <f t="shared" si="234"/>
        <v>5.2511235555555563E-3</v>
      </c>
      <c r="BW114" s="463">
        <f t="shared" si="235"/>
        <v>3.2726250177282255E-4</v>
      </c>
      <c r="BX114" s="463">
        <f t="shared" si="236"/>
        <v>0</v>
      </c>
      <c r="BY114" s="463">
        <f t="shared" si="180"/>
        <v>7.0605389455992706E-3</v>
      </c>
      <c r="BZ114" s="463">
        <f t="shared" si="166"/>
        <v>6.3008749462172674E-3</v>
      </c>
      <c r="CA114" s="549">
        <f t="shared" si="237"/>
        <v>1.6256E-3</v>
      </c>
      <c r="CB114" s="147">
        <f t="shared" si="238"/>
        <v>21.287888838033808</v>
      </c>
      <c r="CC114" s="153">
        <f t="shared" si="168"/>
        <v>1.8587336856058016E-2</v>
      </c>
      <c r="CD114" s="5">
        <f t="shared" si="239"/>
        <v>0.14400000000000002</v>
      </c>
      <c r="CE114" s="153">
        <f t="shared" si="240"/>
        <v>0.88567783189342864</v>
      </c>
      <c r="CF114" s="5">
        <f t="shared" si="241"/>
        <v>88.567783189342862</v>
      </c>
      <c r="CG114">
        <f t="shared" si="242"/>
        <v>4</v>
      </c>
      <c r="CI114" s="59">
        <f t="shared" si="243"/>
        <v>-50</v>
      </c>
      <c r="CJ114">
        <f t="shared" si="244"/>
        <v>-50</v>
      </c>
    </row>
    <row r="115" spans="5:88" x14ac:dyDescent="0.25">
      <c r="E115" s="150">
        <v>5</v>
      </c>
      <c r="F115" s="191">
        <f t="shared" si="245"/>
        <v>5.000000000000001E-3</v>
      </c>
      <c r="G115" s="191">
        <f t="shared" si="183"/>
        <v>5.000000000000001E-3</v>
      </c>
      <c r="H115" s="191">
        <f t="shared" si="184"/>
        <v>0.10000000000000002</v>
      </c>
      <c r="I115" s="191">
        <f t="shared" si="185"/>
        <v>8.0000000000000016E-2</v>
      </c>
      <c r="J115" s="472">
        <f t="shared" si="186"/>
        <v>9</v>
      </c>
      <c r="K115" s="386">
        <f t="shared" si="187"/>
        <v>20.32</v>
      </c>
      <c r="L115" s="386">
        <f t="shared" si="188"/>
        <v>29.32</v>
      </c>
      <c r="M115" s="386"/>
      <c r="N115" s="191">
        <f t="shared" si="189"/>
        <v>0.69304229195088674</v>
      </c>
      <c r="O115" s="152">
        <f t="shared" si="190"/>
        <v>1.1695088676671213</v>
      </c>
      <c r="P115" s="152">
        <f t="shared" si="191"/>
        <v>1.6840927694406547</v>
      </c>
      <c r="Q115" s="191">
        <f t="shared" si="192"/>
        <v>5.8475443383356064E-2</v>
      </c>
      <c r="R115" s="191">
        <f t="shared" si="193"/>
        <v>7.3094304229195078E-2</v>
      </c>
      <c r="S115" s="191">
        <f t="shared" si="194"/>
        <v>20</v>
      </c>
      <c r="T115" s="191">
        <f t="shared" si="195"/>
        <v>6.4129483814523214E-2</v>
      </c>
      <c r="U115" s="191">
        <f t="shared" si="196"/>
        <v>1.0688247302420535</v>
      </c>
      <c r="V115" s="191">
        <f t="shared" si="197"/>
        <v>0.47339678012689373</v>
      </c>
      <c r="W115" s="175">
        <f t="shared" si="198"/>
        <v>277.21691678035478</v>
      </c>
      <c r="X115" s="386">
        <f t="shared" si="199"/>
        <v>350</v>
      </c>
      <c r="Z115" s="191">
        <f t="shared" si="200"/>
        <v>0.14999999999999997</v>
      </c>
      <c r="AA115" s="153">
        <f t="shared" si="201"/>
        <v>1.1072834645669287</v>
      </c>
      <c r="AB115" s="153">
        <f t="shared" si="202"/>
        <v>1.2789904502046381E-2</v>
      </c>
      <c r="AC115" s="153"/>
      <c r="AD115" s="153">
        <f t="shared" si="203"/>
        <v>1.1072834645669289</v>
      </c>
      <c r="AE115" s="317">
        <f t="shared" si="204"/>
        <v>60.207407407407423</v>
      </c>
      <c r="AF115" s="463">
        <f t="shared" si="205"/>
        <v>2.3021828103683497E-2</v>
      </c>
      <c r="AH115" s="153">
        <f t="shared" si="206"/>
        <v>8.2807867121082526E-2</v>
      </c>
      <c r="AI115" s="153">
        <f t="shared" si="207"/>
        <v>0.15</v>
      </c>
      <c r="AJ115" s="153">
        <f t="shared" si="208"/>
        <v>1.0344042328042329</v>
      </c>
      <c r="AL115" s="317">
        <f t="shared" si="209"/>
        <v>5.0000000000000009</v>
      </c>
      <c r="AM115" s="147">
        <f t="shared" si="210"/>
        <v>60.207407407407423</v>
      </c>
      <c r="AO115" s="147">
        <f t="shared" si="211"/>
        <v>5.0000000000000009</v>
      </c>
      <c r="AP115" s="147">
        <f t="shared" si="212"/>
        <v>60.207407407407423</v>
      </c>
      <c r="AR115" s="5">
        <f t="shared" si="160"/>
        <v>16.609251968503933</v>
      </c>
      <c r="AS115" s="5">
        <f t="shared" ref="AS115:AS178" si="246">L*AI115/J115*1000000</f>
        <v>2.5</v>
      </c>
      <c r="AT115" s="5">
        <f t="shared" ref="AT115:AT178" si="247">AR115-AS115</f>
        <v>14.109251968503933</v>
      </c>
      <c r="AU115" s="153">
        <f t="shared" ref="AU115:AU178" si="248">AS115/AR115</f>
        <v>0.15051851851851855</v>
      </c>
      <c r="AW115" s="5">
        <f t="shared" si="216"/>
        <v>6.2500000000000014E-2</v>
      </c>
      <c r="AX115" s="5"/>
      <c r="AY115" s="5">
        <f t="shared" si="217"/>
        <v>7.8125000000000014E-2</v>
      </c>
      <c r="AZ115" s="5"/>
      <c r="BA115" s="5">
        <f t="shared" si="218"/>
        <v>0.17418829590745602</v>
      </c>
      <c r="BB115" s="5"/>
      <c r="BC115" s="5"/>
      <c r="BD115" s="153">
        <f t="shared" si="219"/>
        <v>3.3598941782277743E-2</v>
      </c>
      <c r="BE115" s="153">
        <f t="shared" si="220"/>
        <v>7.9819240231357197E-2</v>
      </c>
      <c r="BF115" s="153">
        <f t="shared" si="221"/>
        <v>7.9506223602998943E-2</v>
      </c>
      <c r="BG115" s="153"/>
      <c r="BH115" s="463">
        <f t="shared" si="222"/>
        <v>3.9511111111111116E-4</v>
      </c>
      <c r="BI115" s="463">
        <f t="shared" si="223"/>
        <v>1.3239608888888893E-3</v>
      </c>
      <c r="BJ115" s="463">
        <f t="shared" si="224"/>
        <v>7.5259259259259279E-4</v>
      </c>
      <c r="BK115" s="463">
        <f t="shared" si="225"/>
        <v>2.5879022174814825E-3</v>
      </c>
      <c r="BL115">
        <f t="shared" si="226"/>
        <v>2.6099999999999999E-3</v>
      </c>
      <c r="BM115">
        <f t="shared" si="227"/>
        <v>6.0207407407407419E-7</v>
      </c>
      <c r="BN115">
        <f t="shared" si="228"/>
        <v>7.7240719535454196E-3</v>
      </c>
      <c r="BO115" s="147">
        <f t="shared" si="229"/>
        <v>7.669566810074075</v>
      </c>
      <c r="BP115" s="153">
        <f t="shared" si="230"/>
        <v>2.0000000000000005E-3</v>
      </c>
      <c r="BQ115" s="153">
        <f t="shared" si="231"/>
        <v>2.0000000000000005E-3</v>
      </c>
      <c r="BR115" s="463"/>
      <c r="BT115" s="147">
        <f t="shared" si="232"/>
        <v>4.0000000000000009</v>
      </c>
      <c r="BU115" s="463">
        <f t="shared" si="233"/>
        <v>9.0311111111111137E-4</v>
      </c>
      <c r="BV115" s="463">
        <f t="shared" si="234"/>
        <v>5.0714044444444446E-3</v>
      </c>
      <c r="BW115" s="463">
        <f t="shared" si="235"/>
        <v>3.1606197958050338E-4</v>
      </c>
      <c r="BX115" s="463">
        <f t="shared" si="236"/>
        <v>0</v>
      </c>
      <c r="BY115" s="463">
        <f t="shared" si="180"/>
        <v>7.0489942189266973E-3</v>
      </c>
      <c r="BZ115" s="463">
        <f t="shared" si="166"/>
        <v>6.2905775351360591E-3</v>
      </c>
      <c r="CA115" s="549">
        <f t="shared" si="237"/>
        <v>2.0320000000000008E-3</v>
      </c>
      <c r="CB115" s="147">
        <f t="shared" si="238"/>
        <v>21.662149289198815</v>
      </c>
      <c r="CC115" s="153">
        <f t="shared" si="168"/>
        <v>2.0805066172472117E-2</v>
      </c>
      <c r="CD115" s="5">
        <f t="shared" si="239"/>
        <v>0.18000000000000005</v>
      </c>
      <c r="CE115" s="153">
        <f t="shared" si="240"/>
        <v>0.89639172671767864</v>
      </c>
      <c r="CF115" s="5">
        <f t="shared" si="241"/>
        <v>89.639172671767867</v>
      </c>
      <c r="CG115">
        <f t="shared" si="242"/>
        <v>5.0000000000000009</v>
      </c>
      <c r="CI115" s="59">
        <f t="shared" si="243"/>
        <v>-50</v>
      </c>
      <c r="CJ115">
        <f t="shared" si="244"/>
        <v>-50</v>
      </c>
    </row>
    <row r="116" spans="5:88" x14ac:dyDescent="0.25">
      <c r="E116" s="150">
        <v>6</v>
      </c>
      <c r="F116" s="191">
        <f t="shared" si="245"/>
        <v>6.0000000000000001E-3</v>
      </c>
      <c r="G116" s="191">
        <f t="shared" si="183"/>
        <v>6.0000000000000001E-3</v>
      </c>
      <c r="H116" s="191">
        <f t="shared" si="184"/>
        <v>0.12</v>
      </c>
      <c r="I116" s="191">
        <f t="shared" si="185"/>
        <v>9.6000000000000002E-2</v>
      </c>
      <c r="J116" s="472">
        <f t="shared" si="186"/>
        <v>9</v>
      </c>
      <c r="K116" s="386">
        <f t="shared" si="187"/>
        <v>20.32</v>
      </c>
      <c r="L116" s="386">
        <f t="shared" si="188"/>
        <v>29.32</v>
      </c>
      <c r="M116" s="386"/>
      <c r="N116" s="191">
        <f t="shared" si="189"/>
        <v>0.69304229195088674</v>
      </c>
      <c r="O116" s="152">
        <f t="shared" si="190"/>
        <v>1.1695088676671213</v>
      </c>
      <c r="P116" s="152">
        <f t="shared" si="191"/>
        <v>1.6840927694406547</v>
      </c>
      <c r="Q116" s="191">
        <f t="shared" si="192"/>
        <v>5.8475443383356064E-2</v>
      </c>
      <c r="R116" s="191">
        <f t="shared" si="193"/>
        <v>7.3094304229195078E-2</v>
      </c>
      <c r="S116" s="191">
        <f t="shared" si="194"/>
        <v>20</v>
      </c>
      <c r="T116" s="191">
        <f t="shared" si="195"/>
        <v>7.6955380577427832E-2</v>
      </c>
      <c r="U116" s="191">
        <f t="shared" si="196"/>
        <v>1.2825896762904638</v>
      </c>
      <c r="V116" s="191">
        <f t="shared" si="197"/>
        <v>0.56807613615227237</v>
      </c>
      <c r="W116" s="175">
        <f t="shared" si="198"/>
        <v>277.21691678035478</v>
      </c>
      <c r="X116" s="386">
        <f t="shared" si="199"/>
        <v>350</v>
      </c>
      <c r="Z116" s="191">
        <f t="shared" si="200"/>
        <v>0.14999999999999997</v>
      </c>
      <c r="AA116" s="153">
        <f t="shared" si="201"/>
        <v>1.1072834645669287</v>
      </c>
      <c r="AB116" s="153">
        <f t="shared" si="202"/>
        <v>1.2789904502046381E-2</v>
      </c>
      <c r="AC116" s="153"/>
      <c r="AD116" s="153">
        <f t="shared" si="203"/>
        <v>1.1072834645669289</v>
      </c>
      <c r="AE116" s="317">
        <f t="shared" si="204"/>
        <v>72.248888888888885</v>
      </c>
      <c r="AF116" s="463">
        <f t="shared" si="205"/>
        <v>2.3021828103683497E-2</v>
      </c>
      <c r="AH116" s="153">
        <f t="shared" si="206"/>
        <v>9.0711473522214536E-2</v>
      </c>
      <c r="AI116" s="153">
        <f t="shared" si="207"/>
        <v>0.15</v>
      </c>
      <c r="AJ116" s="153">
        <f t="shared" si="208"/>
        <v>1.0412850793650794</v>
      </c>
      <c r="AL116" s="317">
        <f t="shared" si="209"/>
        <v>6</v>
      </c>
      <c r="AM116" s="147">
        <f t="shared" si="210"/>
        <v>72.248888888888885</v>
      </c>
      <c r="AO116" s="147">
        <f t="shared" si="211"/>
        <v>6</v>
      </c>
      <c r="AP116" s="147">
        <f t="shared" si="212"/>
        <v>72.248888888888885</v>
      </c>
      <c r="AR116" s="5">
        <f t="shared" si="160"/>
        <v>13.841043307086615</v>
      </c>
      <c r="AS116" s="5">
        <f t="shared" si="246"/>
        <v>2.5</v>
      </c>
      <c r="AT116" s="5">
        <f t="shared" si="247"/>
        <v>11.341043307086615</v>
      </c>
      <c r="AU116" s="153">
        <f t="shared" si="248"/>
        <v>0.18062222222222221</v>
      </c>
      <c r="AW116" s="5">
        <f t="shared" si="216"/>
        <v>7.4999999999999997E-2</v>
      </c>
      <c r="AX116" s="5"/>
      <c r="AY116" s="5">
        <f t="shared" si="217"/>
        <v>9.375E-2</v>
      </c>
      <c r="AZ116" s="5"/>
      <c r="BA116" s="5">
        <f t="shared" si="218"/>
        <v>0.16801545640128318</v>
      </c>
      <c r="BB116" s="5"/>
      <c r="BC116" s="5"/>
      <c r="BD116" s="153">
        <f t="shared" si="219"/>
        <v>3.6805796644912694E-2</v>
      </c>
      <c r="BE116" s="153">
        <f t="shared" si="220"/>
        <v>7.8392176480394607E-2</v>
      </c>
      <c r="BF116" s="153">
        <f t="shared" si="221"/>
        <v>7.8084756180471504E-2</v>
      </c>
      <c r="BG116" s="153"/>
      <c r="BH116" s="463">
        <f t="shared" si="222"/>
        <v>4.7413333333333328E-4</v>
      </c>
      <c r="BI116" s="463">
        <f t="shared" si="223"/>
        <v>1.5887530666666668E-3</v>
      </c>
      <c r="BJ116" s="463">
        <f t="shared" si="224"/>
        <v>9.0311111111111093E-4</v>
      </c>
      <c r="BK116" s="463">
        <f t="shared" si="225"/>
        <v>3.1054826609777778E-3</v>
      </c>
      <c r="BL116">
        <f t="shared" si="226"/>
        <v>2.6099999999999999E-3</v>
      </c>
      <c r="BM116">
        <f t="shared" si="227"/>
        <v>7.2248888888888886E-7</v>
      </c>
      <c r="BN116">
        <f t="shared" si="228"/>
        <v>8.7469758254302456E-3</v>
      </c>
      <c r="BO116" s="147">
        <f t="shared" si="229"/>
        <v>8.6814801720888877</v>
      </c>
      <c r="BP116" s="153">
        <f t="shared" si="230"/>
        <v>2.4000000000000002E-3</v>
      </c>
      <c r="BQ116" s="153">
        <f t="shared" si="231"/>
        <v>2.4000000000000002E-3</v>
      </c>
      <c r="BR116" s="463"/>
      <c r="BT116" s="147">
        <f t="shared" si="232"/>
        <v>4.8000000000000007</v>
      </c>
      <c r="BU116" s="463">
        <f t="shared" si="233"/>
        <v>1.0837333333333333E-3</v>
      </c>
      <c r="BV116" s="463">
        <f t="shared" si="234"/>
        <v>4.8916853333333338E-3</v>
      </c>
      <c r="BW116" s="463">
        <f t="shared" si="235"/>
        <v>3.0486145738818415E-4</v>
      </c>
      <c r="BX116" s="463">
        <f t="shared" si="236"/>
        <v>0</v>
      </c>
      <c r="BY116" s="463">
        <f t="shared" si="180"/>
        <v>7.0374495112846139E-3</v>
      </c>
      <c r="BZ116" s="463">
        <f t="shared" si="166"/>
        <v>6.2802801240548507E-3</v>
      </c>
      <c r="CA116" s="549">
        <f t="shared" si="237"/>
        <v>2.4383999999999999E-3</v>
      </c>
      <c r="CB116" s="147">
        <f t="shared" si="238"/>
        <v>22.036409759394317</v>
      </c>
      <c r="CC116" s="153">
        <f t="shared" si="168"/>
        <v>2.3022825336714858E-2</v>
      </c>
      <c r="CD116" s="5">
        <f t="shared" si="239"/>
        <v>0.216</v>
      </c>
      <c r="CE116" s="153">
        <f t="shared" si="240"/>
        <v>0.90367938583153196</v>
      </c>
      <c r="CF116" s="5">
        <f t="shared" si="241"/>
        <v>90.36793858315319</v>
      </c>
      <c r="CG116">
        <f t="shared" si="242"/>
        <v>6</v>
      </c>
      <c r="CI116" s="59">
        <f t="shared" si="243"/>
        <v>-50</v>
      </c>
      <c r="CJ116">
        <f t="shared" si="244"/>
        <v>-50</v>
      </c>
    </row>
    <row r="117" spans="5:88" x14ac:dyDescent="0.25">
      <c r="E117" s="150">
        <v>7</v>
      </c>
      <c r="F117" s="191">
        <f t="shared" si="245"/>
        <v>7.000000000000001E-3</v>
      </c>
      <c r="G117" s="191">
        <f t="shared" si="183"/>
        <v>7.000000000000001E-3</v>
      </c>
      <c r="H117" s="191">
        <f t="shared" si="184"/>
        <v>0.14000000000000001</v>
      </c>
      <c r="I117" s="191">
        <f t="shared" si="185"/>
        <v>0.11200000000000002</v>
      </c>
      <c r="J117" s="472">
        <f t="shared" si="186"/>
        <v>9</v>
      </c>
      <c r="K117" s="386">
        <f t="shared" si="187"/>
        <v>20.32</v>
      </c>
      <c r="L117" s="386">
        <f t="shared" si="188"/>
        <v>29.32</v>
      </c>
      <c r="M117" s="386"/>
      <c r="N117" s="191">
        <f t="shared" si="189"/>
        <v>0.69304229195088674</v>
      </c>
      <c r="O117" s="152">
        <f t="shared" si="190"/>
        <v>1.1695088676671213</v>
      </c>
      <c r="P117" s="152">
        <f t="shared" si="191"/>
        <v>1.6840927694406547</v>
      </c>
      <c r="Q117" s="191">
        <f t="shared" si="192"/>
        <v>5.8475443383356064E-2</v>
      </c>
      <c r="R117" s="191">
        <f t="shared" si="193"/>
        <v>7.3094304229195078E-2</v>
      </c>
      <c r="S117" s="191">
        <f t="shared" si="194"/>
        <v>20</v>
      </c>
      <c r="T117" s="191">
        <f t="shared" si="195"/>
        <v>8.9781277340332463E-2</v>
      </c>
      <c r="U117" s="191">
        <f t="shared" si="196"/>
        <v>1.4963546223388742</v>
      </c>
      <c r="V117" s="191">
        <f t="shared" si="197"/>
        <v>0.66275549217765106</v>
      </c>
      <c r="W117" s="175">
        <f t="shared" si="198"/>
        <v>277.21691678035478</v>
      </c>
      <c r="X117" s="386">
        <f t="shared" si="199"/>
        <v>350</v>
      </c>
      <c r="Z117" s="191">
        <f t="shared" si="200"/>
        <v>0.14999999999999997</v>
      </c>
      <c r="AA117" s="153">
        <f t="shared" si="201"/>
        <v>1.1072834645669287</v>
      </c>
      <c r="AB117" s="153">
        <f t="shared" si="202"/>
        <v>1.2789904502046381E-2</v>
      </c>
      <c r="AC117" s="153"/>
      <c r="AD117" s="153">
        <f t="shared" si="203"/>
        <v>1.1072834645669289</v>
      </c>
      <c r="AE117" s="317">
        <f t="shared" si="204"/>
        <v>84.290370370370397</v>
      </c>
      <c r="AF117" s="463">
        <f t="shared" si="205"/>
        <v>2.3021828103683497E-2</v>
      </c>
      <c r="AH117" s="153">
        <f t="shared" si="206"/>
        <v>9.7979589711327128E-2</v>
      </c>
      <c r="AI117" s="153">
        <f t="shared" si="207"/>
        <v>0.15</v>
      </c>
      <c r="AJ117" s="153">
        <f t="shared" si="208"/>
        <v>1.0481659259259259</v>
      </c>
      <c r="AL117" s="317">
        <f t="shared" si="209"/>
        <v>7.0000000000000009</v>
      </c>
      <c r="AM117" s="147">
        <f t="shared" si="210"/>
        <v>84.290370370370397</v>
      </c>
      <c r="AO117" s="147">
        <f t="shared" si="211"/>
        <v>7.0000000000000009</v>
      </c>
      <c r="AP117" s="147">
        <f t="shared" si="212"/>
        <v>84.290370370370397</v>
      </c>
      <c r="AR117" s="5">
        <f t="shared" si="160"/>
        <v>11.863751406074238</v>
      </c>
      <c r="AS117" s="5">
        <f t="shared" si="246"/>
        <v>2.5</v>
      </c>
      <c r="AT117" s="5">
        <f t="shared" si="247"/>
        <v>9.3637514060742379</v>
      </c>
      <c r="AU117" s="153">
        <f t="shared" si="248"/>
        <v>0.21072592592592598</v>
      </c>
      <c r="AW117" s="5">
        <f t="shared" si="216"/>
        <v>8.7500000000000008E-2</v>
      </c>
      <c r="AX117" s="5"/>
      <c r="AY117" s="5">
        <f t="shared" si="217"/>
        <v>0.10937500000000001</v>
      </c>
      <c r="AZ117" s="5"/>
      <c r="BA117" s="5">
        <f t="shared" si="218"/>
        <v>0.16184261689511031</v>
      </c>
      <c r="BB117" s="5"/>
      <c r="BC117" s="5"/>
      <c r="BD117" s="153">
        <f t="shared" si="219"/>
        <v>3.9754804042334869E-2</v>
      </c>
      <c r="BE117" s="153">
        <f t="shared" si="220"/>
        <v>7.6938647996670412E-2</v>
      </c>
      <c r="BF117" s="153">
        <f t="shared" si="221"/>
        <v>7.6636927808448177E-2</v>
      </c>
      <c r="BG117" s="153"/>
      <c r="BH117" s="463">
        <f t="shared" si="222"/>
        <v>5.5315555555555571E-4</v>
      </c>
      <c r="BI117" s="463">
        <f t="shared" si="223"/>
        <v>1.8535452444444448E-3</v>
      </c>
      <c r="BJ117" s="463">
        <f t="shared" si="224"/>
        <v>1.0536296296296298E-3</v>
      </c>
      <c r="BK117" s="463">
        <f t="shared" si="225"/>
        <v>3.6230631044740758E-3</v>
      </c>
      <c r="BL117">
        <f t="shared" si="226"/>
        <v>2.6099999999999999E-3</v>
      </c>
      <c r="BM117">
        <f t="shared" si="227"/>
        <v>8.4290370370370396E-7</v>
      </c>
      <c r="BN117">
        <f t="shared" si="228"/>
        <v>9.7699095274180296E-3</v>
      </c>
      <c r="BO117" s="147">
        <f t="shared" si="229"/>
        <v>9.6933935341037056</v>
      </c>
      <c r="BP117" s="153">
        <f t="shared" si="230"/>
        <v>2.8000000000000004E-3</v>
      </c>
      <c r="BQ117" s="153">
        <f t="shared" si="231"/>
        <v>2.8000000000000004E-3</v>
      </c>
      <c r="BR117" s="463"/>
      <c r="BT117" s="147">
        <f t="shared" si="232"/>
        <v>5.6000000000000005</v>
      </c>
      <c r="BU117" s="463">
        <f t="shared" si="233"/>
        <v>1.264355555555556E-3</v>
      </c>
      <c r="BV117" s="463">
        <f t="shared" si="234"/>
        <v>4.711966222222223E-3</v>
      </c>
      <c r="BW117" s="463">
        <f t="shared" si="235"/>
        <v>2.9366093519586487E-4</v>
      </c>
      <c r="BX117" s="463">
        <f t="shared" si="236"/>
        <v>0</v>
      </c>
      <c r="BY117" s="463">
        <f t="shared" si="180"/>
        <v>7.0259048226729744E-3</v>
      </c>
      <c r="BZ117" s="463">
        <f t="shared" si="166"/>
        <v>6.269982712973644E-3</v>
      </c>
      <c r="CA117" s="549">
        <f t="shared" si="237"/>
        <v>2.8448000000000011E-3</v>
      </c>
      <c r="CB117" s="147">
        <f t="shared" si="238"/>
        <v>22.410670248620264</v>
      </c>
      <c r="CC117" s="153">
        <f t="shared" si="168"/>
        <v>2.5240614350091006E-2</v>
      </c>
      <c r="CD117" s="5">
        <f t="shared" si="239"/>
        <v>0.252</v>
      </c>
      <c r="CE117" s="153">
        <f t="shared" si="240"/>
        <v>0.908957731863132</v>
      </c>
      <c r="CF117" s="5">
        <f t="shared" si="241"/>
        <v>90.895773186313207</v>
      </c>
      <c r="CG117">
        <f t="shared" si="242"/>
        <v>7.0000000000000009</v>
      </c>
      <c r="CI117" s="59">
        <f t="shared" si="243"/>
        <v>-50</v>
      </c>
      <c r="CJ117">
        <f t="shared" si="244"/>
        <v>-50</v>
      </c>
    </row>
    <row r="118" spans="5:88" x14ac:dyDescent="0.25">
      <c r="E118" s="150">
        <v>8</v>
      </c>
      <c r="F118" s="191">
        <f t="shared" si="245"/>
        <v>8.0000000000000002E-3</v>
      </c>
      <c r="G118" s="191">
        <f t="shared" si="183"/>
        <v>8.0000000000000002E-3</v>
      </c>
      <c r="H118" s="191">
        <f t="shared" si="184"/>
        <v>0.16</v>
      </c>
      <c r="I118" s="191">
        <f t="shared" si="185"/>
        <v>0.128</v>
      </c>
      <c r="J118" s="472">
        <f t="shared" si="186"/>
        <v>9</v>
      </c>
      <c r="K118" s="386">
        <f t="shared" si="187"/>
        <v>20.32</v>
      </c>
      <c r="L118" s="386">
        <f t="shared" si="188"/>
        <v>29.32</v>
      </c>
      <c r="M118" s="386"/>
      <c r="N118" s="191">
        <f t="shared" si="189"/>
        <v>0.69304229195088674</v>
      </c>
      <c r="O118" s="152">
        <f t="shared" si="190"/>
        <v>1.1695088676671213</v>
      </c>
      <c r="P118" s="152">
        <f t="shared" si="191"/>
        <v>1.6840927694406547</v>
      </c>
      <c r="Q118" s="191">
        <f t="shared" si="192"/>
        <v>5.8475443383356064E-2</v>
      </c>
      <c r="R118" s="191">
        <f t="shared" si="193"/>
        <v>7.3094304229195078E-2</v>
      </c>
      <c r="S118" s="191">
        <f t="shared" si="194"/>
        <v>20</v>
      </c>
      <c r="T118" s="191">
        <f t="shared" si="195"/>
        <v>0.10260717410323711</v>
      </c>
      <c r="U118" s="191">
        <f t="shared" si="196"/>
        <v>1.7101195683872852</v>
      </c>
      <c r="V118" s="191">
        <f t="shared" si="197"/>
        <v>0.75743484820302986</v>
      </c>
      <c r="W118" s="175">
        <f t="shared" si="198"/>
        <v>277.21691678035478</v>
      </c>
      <c r="X118" s="386">
        <f t="shared" si="199"/>
        <v>350</v>
      </c>
      <c r="Z118" s="191">
        <f t="shared" si="200"/>
        <v>0.14999999999999997</v>
      </c>
      <c r="AA118" s="153">
        <f t="shared" si="201"/>
        <v>1.1072834645669287</v>
      </c>
      <c r="AB118" s="153">
        <f t="shared" si="202"/>
        <v>1.2789904502046381E-2</v>
      </c>
      <c r="AC118" s="153"/>
      <c r="AD118" s="153">
        <f t="shared" si="203"/>
        <v>1.1072834645669289</v>
      </c>
      <c r="AE118" s="317">
        <f t="shared" si="204"/>
        <v>96.331851851851852</v>
      </c>
      <c r="AF118" s="463">
        <f t="shared" si="205"/>
        <v>2.3021828103683497E-2</v>
      </c>
      <c r="AH118" s="153">
        <f t="shared" si="206"/>
        <v>0.10474458731327636</v>
      </c>
      <c r="AI118" s="153">
        <f t="shared" si="207"/>
        <v>0.15</v>
      </c>
      <c r="AJ118" s="153">
        <f t="shared" si="208"/>
        <v>1.0550467724867725</v>
      </c>
      <c r="AL118" s="317">
        <f t="shared" si="209"/>
        <v>8</v>
      </c>
      <c r="AM118" s="147">
        <f t="shared" si="210"/>
        <v>96.331851851851852</v>
      </c>
      <c r="AO118" s="147">
        <f t="shared" si="211"/>
        <v>8</v>
      </c>
      <c r="AP118" s="147">
        <f t="shared" si="212"/>
        <v>96.331851851851852</v>
      </c>
      <c r="AR118" s="5">
        <f t="shared" si="160"/>
        <v>10.380782480314961</v>
      </c>
      <c r="AS118" s="5">
        <f t="shared" si="246"/>
        <v>2.5</v>
      </c>
      <c r="AT118" s="5">
        <f t="shared" si="247"/>
        <v>7.8807824803149611</v>
      </c>
      <c r="AU118" s="153">
        <f t="shared" si="248"/>
        <v>0.24082962962962962</v>
      </c>
      <c r="AW118" s="5">
        <f t="shared" si="216"/>
        <v>0.1</v>
      </c>
      <c r="AX118" s="5"/>
      <c r="AY118" s="5">
        <f t="shared" si="217"/>
        <v>0.125</v>
      </c>
      <c r="AZ118" s="5"/>
      <c r="BA118" s="5">
        <f t="shared" si="218"/>
        <v>0.1556697773889375</v>
      </c>
      <c r="BB118" s="5"/>
      <c r="BC118" s="5"/>
      <c r="BD118" s="153">
        <f t="shared" si="219"/>
        <v>4.2499673201357932E-2</v>
      </c>
      <c r="BE118" s="153">
        <f t="shared" si="220"/>
        <v>7.5457125427475555E-2</v>
      </c>
      <c r="BF118" s="153">
        <f t="shared" si="221"/>
        <v>7.5161215131681544E-2</v>
      </c>
      <c r="BG118" s="153"/>
      <c r="BH118" s="463">
        <f t="shared" si="222"/>
        <v>6.3217777777777756E-4</v>
      </c>
      <c r="BI118" s="463">
        <f t="shared" si="223"/>
        <v>2.1183374222222221E-3</v>
      </c>
      <c r="BJ118" s="463">
        <f t="shared" si="224"/>
        <v>1.2041481481481482E-3</v>
      </c>
      <c r="BK118" s="463">
        <f t="shared" si="225"/>
        <v>4.1406435479703716E-3</v>
      </c>
      <c r="BL118">
        <f t="shared" si="226"/>
        <v>2.6099999999999999E-3</v>
      </c>
      <c r="BM118">
        <f t="shared" si="227"/>
        <v>9.6331851851851863E-7</v>
      </c>
      <c r="BN118">
        <f t="shared" si="228"/>
        <v>1.0792873060813658E-2</v>
      </c>
      <c r="BO118" s="147">
        <f t="shared" si="229"/>
        <v>10.70530689611852</v>
      </c>
      <c r="BP118" s="153">
        <f t="shared" si="230"/>
        <v>3.2000000000000002E-3</v>
      </c>
      <c r="BQ118" s="153">
        <f t="shared" si="231"/>
        <v>3.2000000000000002E-3</v>
      </c>
      <c r="BR118" s="463"/>
      <c r="BT118" s="147">
        <f t="shared" si="232"/>
        <v>6.4</v>
      </c>
      <c r="BU118" s="463">
        <f t="shared" si="233"/>
        <v>1.4449777777777774E-3</v>
      </c>
      <c r="BV118" s="463">
        <f t="shared" si="234"/>
        <v>4.5322471111111113E-3</v>
      </c>
      <c r="BW118" s="463">
        <f t="shared" si="235"/>
        <v>2.8246041300354575E-4</v>
      </c>
      <c r="BX118" s="463">
        <f t="shared" si="236"/>
        <v>0</v>
      </c>
      <c r="BY118" s="463">
        <f t="shared" si="180"/>
        <v>7.0143601530917258E-3</v>
      </c>
      <c r="BZ118" s="463">
        <f t="shared" si="166"/>
        <v>6.2596853018924339E-3</v>
      </c>
      <c r="CA118" s="549">
        <f t="shared" si="237"/>
        <v>3.2512000000000001E-3</v>
      </c>
      <c r="CB118" s="147">
        <f t="shared" si="238"/>
        <v>22.784930756876594</v>
      </c>
      <c r="CC118" s="153">
        <f t="shared" si="168"/>
        <v>2.745843321390538E-2</v>
      </c>
      <c r="CD118" s="5">
        <f t="shared" si="239"/>
        <v>0.28800000000000003</v>
      </c>
      <c r="CE118" s="153">
        <f t="shared" si="240"/>
        <v>0.91295704814685863</v>
      </c>
      <c r="CF118" s="5">
        <f t="shared" si="241"/>
        <v>91.295704814685863</v>
      </c>
      <c r="CG118">
        <f t="shared" si="242"/>
        <v>8</v>
      </c>
      <c r="CI118" s="59">
        <f t="shared" si="243"/>
        <v>-50</v>
      </c>
      <c r="CJ118">
        <f t="shared" si="244"/>
        <v>-50</v>
      </c>
    </row>
    <row r="119" spans="5:88" x14ac:dyDescent="0.25">
      <c r="E119" s="150">
        <v>9</v>
      </c>
      <c r="F119" s="191">
        <f t="shared" si="245"/>
        <v>8.9999999999999993E-3</v>
      </c>
      <c r="G119" s="191">
        <f t="shared" si="183"/>
        <v>8.9999999999999993E-3</v>
      </c>
      <c r="H119" s="191">
        <f t="shared" si="184"/>
        <v>0.18</v>
      </c>
      <c r="I119" s="191">
        <f t="shared" si="185"/>
        <v>0.14399999999999999</v>
      </c>
      <c r="J119" s="472">
        <f t="shared" si="186"/>
        <v>9</v>
      </c>
      <c r="K119" s="386">
        <f t="shared" si="187"/>
        <v>20.32</v>
      </c>
      <c r="L119" s="386">
        <f t="shared" si="188"/>
        <v>29.32</v>
      </c>
      <c r="M119" s="386"/>
      <c r="N119" s="191">
        <f t="shared" si="189"/>
        <v>0.69304229195088674</v>
      </c>
      <c r="O119" s="152">
        <f t="shared" si="190"/>
        <v>1.1695088676671213</v>
      </c>
      <c r="P119" s="152">
        <f t="shared" si="191"/>
        <v>1.6840927694406547</v>
      </c>
      <c r="Q119" s="191">
        <f t="shared" si="192"/>
        <v>5.8475443383356064E-2</v>
      </c>
      <c r="R119" s="191">
        <f t="shared" si="193"/>
        <v>7.3094304229195078E-2</v>
      </c>
      <c r="S119" s="191">
        <f t="shared" si="194"/>
        <v>20</v>
      </c>
      <c r="T119" s="191">
        <f t="shared" si="195"/>
        <v>0.11543307086614173</v>
      </c>
      <c r="U119" s="191">
        <f t="shared" si="196"/>
        <v>1.9238845144356953</v>
      </c>
      <c r="V119" s="191">
        <f t="shared" si="197"/>
        <v>0.85211420422840845</v>
      </c>
      <c r="W119" s="175">
        <f t="shared" si="198"/>
        <v>277.21691678035478</v>
      </c>
      <c r="X119" s="386">
        <f t="shared" si="199"/>
        <v>350</v>
      </c>
      <c r="Z119" s="191">
        <f t="shared" si="200"/>
        <v>0.14999999999999997</v>
      </c>
      <c r="AA119" s="153">
        <f t="shared" si="201"/>
        <v>1.1072834645669287</v>
      </c>
      <c r="AB119" s="153">
        <f t="shared" si="202"/>
        <v>1.2789904502046381E-2</v>
      </c>
      <c r="AC119" s="153"/>
      <c r="AD119" s="153">
        <f t="shared" si="203"/>
        <v>1.1072834645669289</v>
      </c>
      <c r="AE119" s="317">
        <f t="shared" si="204"/>
        <v>108.37333333333333</v>
      </c>
      <c r="AF119" s="463">
        <f t="shared" si="205"/>
        <v>2.3021828103683497E-2</v>
      </c>
      <c r="AH119" s="153">
        <f t="shared" si="206"/>
        <v>0.11109841197270617</v>
      </c>
      <c r="AI119" s="153">
        <f t="shared" si="207"/>
        <v>0.15</v>
      </c>
      <c r="AJ119" s="153">
        <f t="shared" si="208"/>
        <v>1.061927619047619</v>
      </c>
      <c r="AL119" s="317">
        <f t="shared" si="209"/>
        <v>9</v>
      </c>
      <c r="AM119" s="147">
        <f t="shared" si="210"/>
        <v>108.37333333333333</v>
      </c>
      <c r="AO119" s="147">
        <f t="shared" si="211"/>
        <v>9</v>
      </c>
      <c r="AP119" s="147">
        <f t="shared" si="212"/>
        <v>108.37333333333333</v>
      </c>
      <c r="AR119" s="5">
        <f t="shared" si="160"/>
        <v>9.2273622047244093</v>
      </c>
      <c r="AS119" s="5">
        <f t="shared" si="246"/>
        <v>2.5</v>
      </c>
      <c r="AT119" s="5">
        <f t="shared" si="247"/>
        <v>6.7273622047244093</v>
      </c>
      <c r="AU119" s="153">
        <f t="shared" si="248"/>
        <v>0.27093333333333336</v>
      </c>
      <c r="AW119" s="5">
        <f t="shared" si="216"/>
        <v>0.1125</v>
      </c>
      <c r="AX119" s="5"/>
      <c r="AY119" s="5">
        <f t="shared" si="217"/>
        <v>0.140625</v>
      </c>
      <c r="AZ119" s="5"/>
      <c r="BA119" s="5">
        <f t="shared" si="218"/>
        <v>0.14949693788276464</v>
      </c>
      <c r="BB119" s="5"/>
      <c r="BC119" s="5"/>
      <c r="BD119" s="153">
        <f t="shared" si="219"/>
        <v>4.507771067833858E-2</v>
      </c>
      <c r="BE119" s="153">
        <f t="shared" si="220"/>
        <v>7.3945926189344605E-2</v>
      </c>
      <c r="BF119" s="153">
        <f t="shared" si="221"/>
        <v>7.3655942165072666E-2</v>
      </c>
      <c r="BG119" s="153"/>
      <c r="BH119" s="463">
        <f t="shared" si="222"/>
        <v>7.1119999999999994E-4</v>
      </c>
      <c r="BI119" s="463">
        <f t="shared" si="223"/>
        <v>2.3831295999999997E-3</v>
      </c>
      <c r="BJ119" s="463">
        <f t="shared" si="224"/>
        <v>1.3546666666666668E-3</v>
      </c>
      <c r="BK119" s="463">
        <f t="shared" si="225"/>
        <v>4.6582239914666678E-3</v>
      </c>
      <c r="BL119">
        <f t="shared" si="226"/>
        <v>2.6099999999999999E-3</v>
      </c>
      <c r="BM119">
        <f t="shared" si="227"/>
        <v>1.0837333333333333E-6</v>
      </c>
      <c r="BN119">
        <f t="shared" si="228"/>
        <v>1.1815866426922089E-2</v>
      </c>
      <c r="BO119" s="147">
        <f t="shared" si="229"/>
        <v>11.717220258133333</v>
      </c>
      <c r="BP119" s="153">
        <f t="shared" si="230"/>
        <v>3.5999999999999999E-3</v>
      </c>
      <c r="BQ119" s="153">
        <f t="shared" si="231"/>
        <v>3.5999999999999999E-3</v>
      </c>
      <c r="BR119" s="463"/>
      <c r="BT119" s="147">
        <f t="shared" si="232"/>
        <v>7.2</v>
      </c>
      <c r="BU119" s="463">
        <f t="shared" si="233"/>
        <v>1.6256E-3</v>
      </c>
      <c r="BV119" s="463">
        <f t="shared" si="234"/>
        <v>4.3525280000000005E-3</v>
      </c>
      <c r="BW119" s="463">
        <f t="shared" si="235"/>
        <v>2.7125989081122647E-4</v>
      </c>
      <c r="BX119" s="463">
        <f t="shared" si="236"/>
        <v>0</v>
      </c>
      <c r="BY119" s="463">
        <f t="shared" si="180"/>
        <v>7.0028155025408283E-3</v>
      </c>
      <c r="BZ119" s="463">
        <f t="shared" si="166"/>
        <v>6.2493878908112272E-3</v>
      </c>
      <c r="CA119" s="549">
        <f t="shared" si="237"/>
        <v>3.6576000000000004E-3</v>
      </c>
      <c r="CB119" s="147">
        <f t="shared" si="238"/>
        <v>23.159191284163281</v>
      </c>
      <c r="CC119" s="153">
        <f t="shared" si="168"/>
        <v>2.9676281929462915E-2</v>
      </c>
      <c r="CD119" s="5">
        <f t="shared" si="239"/>
        <v>0.32399999999999995</v>
      </c>
      <c r="CE119" s="153">
        <f t="shared" si="240"/>
        <v>0.91609196475498589</v>
      </c>
      <c r="CF119" s="5">
        <f t="shared" si="241"/>
        <v>91.609196475498592</v>
      </c>
      <c r="CG119">
        <f t="shared" si="242"/>
        <v>8.9999999999999982</v>
      </c>
      <c r="CI119" s="59">
        <f t="shared" si="243"/>
        <v>-50</v>
      </c>
      <c r="CJ119">
        <f t="shared" si="244"/>
        <v>-50</v>
      </c>
    </row>
    <row r="120" spans="5:88" x14ac:dyDescent="0.25">
      <c r="E120" s="150">
        <v>10</v>
      </c>
      <c r="F120" s="191">
        <f t="shared" si="245"/>
        <v>1.0000000000000002E-2</v>
      </c>
      <c r="G120" s="191">
        <f t="shared" si="183"/>
        <v>1.0000000000000002E-2</v>
      </c>
      <c r="H120" s="191">
        <f t="shared" si="184"/>
        <v>0.20000000000000004</v>
      </c>
      <c r="I120" s="191">
        <f t="shared" si="185"/>
        <v>0.16000000000000003</v>
      </c>
      <c r="J120" s="472">
        <f t="shared" si="186"/>
        <v>9</v>
      </c>
      <c r="K120" s="386">
        <f t="shared" si="187"/>
        <v>20.32</v>
      </c>
      <c r="L120" s="386">
        <f t="shared" si="188"/>
        <v>29.32</v>
      </c>
      <c r="M120" s="386"/>
      <c r="N120" s="191">
        <f t="shared" si="189"/>
        <v>0.69304229195088674</v>
      </c>
      <c r="O120" s="152">
        <f t="shared" si="190"/>
        <v>1.1695088676671213</v>
      </c>
      <c r="P120" s="152">
        <f t="shared" si="191"/>
        <v>1.6840927694406547</v>
      </c>
      <c r="Q120" s="191">
        <f t="shared" si="192"/>
        <v>5.8475443383356064E-2</v>
      </c>
      <c r="R120" s="191">
        <f t="shared" si="193"/>
        <v>7.3094304229195078E-2</v>
      </c>
      <c r="S120" s="191">
        <f t="shared" si="194"/>
        <v>20</v>
      </c>
      <c r="T120" s="191">
        <f t="shared" si="195"/>
        <v>0.12825896762904643</v>
      </c>
      <c r="U120" s="191">
        <f t="shared" si="196"/>
        <v>2.137649460484107</v>
      </c>
      <c r="V120" s="191">
        <f t="shared" si="197"/>
        <v>0.94679356025378747</v>
      </c>
      <c r="W120" s="175">
        <f t="shared" si="198"/>
        <v>277.21691678035478</v>
      </c>
      <c r="X120" s="386">
        <f t="shared" si="199"/>
        <v>324.20764244196317</v>
      </c>
      <c r="Z120" s="191">
        <f t="shared" si="200"/>
        <v>0.14999999999999997</v>
      </c>
      <c r="AA120" s="153">
        <f t="shared" si="201"/>
        <v>1.1072834645669287</v>
      </c>
      <c r="AB120" s="153">
        <f t="shared" si="202"/>
        <v>1.2789904502046381E-2</v>
      </c>
      <c r="AC120" s="153"/>
      <c r="AD120" s="153">
        <f t="shared" si="203"/>
        <v>1.1072834645669289</v>
      </c>
      <c r="AE120" s="317">
        <f t="shared" si="204"/>
        <v>120.41481481481485</v>
      </c>
      <c r="AF120" s="463">
        <f t="shared" si="205"/>
        <v>2.3021828103683497E-2</v>
      </c>
      <c r="AH120" s="153">
        <f t="shared" si="206"/>
        <v>0.117108008753824</v>
      </c>
      <c r="AI120" s="153">
        <f t="shared" si="207"/>
        <v>0.15</v>
      </c>
      <c r="AJ120" s="153">
        <f t="shared" si="208"/>
        <v>1.0688084656084655</v>
      </c>
      <c r="AL120" s="317">
        <f t="shared" si="209"/>
        <v>10.000000000000002</v>
      </c>
      <c r="AM120" s="147">
        <f t="shared" si="210"/>
        <v>120.41481481481485</v>
      </c>
      <c r="AO120" s="147">
        <f t="shared" si="211"/>
        <v>10.000000000000002</v>
      </c>
      <c r="AP120" s="147">
        <f t="shared" si="212"/>
        <v>120.41481481481485</v>
      </c>
      <c r="AR120" s="5">
        <f t="shared" si="160"/>
        <v>8.3046259842519667</v>
      </c>
      <c r="AS120" s="5">
        <f t="shared" si="246"/>
        <v>2.5</v>
      </c>
      <c r="AT120" s="5">
        <f t="shared" si="247"/>
        <v>5.8046259842519667</v>
      </c>
      <c r="AU120" s="153">
        <f t="shared" si="248"/>
        <v>0.3010370370370371</v>
      </c>
      <c r="AW120" s="5">
        <f t="shared" si="216"/>
        <v>0.12500000000000003</v>
      </c>
      <c r="AX120" s="5"/>
      <c r="AY120" s="5">
        <f t="shared" si="217"/>
        <v>0.15625000000000003</v>
      </c>
      <c r="AZ120" s="5"/>
      <c r="BA120" s="5">
        <f t="shared" si="218"/>
        <v>0.1433240983765918</v>
      </c>
      <c r="BB120" s="5"/>
      <c r="BC120" s="5"/>
      <c r="BD120" s="153">
        <f t="shared" si="219"/>
        <v>4.7516079149881235E-2</v>
      </c>
      <c r="BE120" s="153">
        <f t="shared" si="220"/>
        <v>7.2403192072050399E-2</v>
      </c>
      <c r="BF120" s="153">
        <f t="shared" si="221"/>
        <v>7.2119257985493346E-2</v>
      </c>
      <c r="BG120" s="153"/>
      <c r="BH120" s="463">
        <f t="shared" si="222"/>
        <v>7.9022222222222232E-4</v>
      </c>
      <c r="BI120" s="463">
        <f t="shared" si="223"/>
        <v>2.6479217777777785E-3</v>
      </c>
      <c r="BJ120" s="463">
        <f t="shared" si="224"/>
        <v>1.5051851851851856E-3</v>
      </c>
      <c r="BK120" s="463">
        <f t="shared" si="225"/>
        <v>5.1758044349629649E-3</v>
      </c>
      <c r="BL120">
        <f t="shared" si="226"/>
        <v>2.6099999999999999E-3</v>
      </c>
      <c r="BM120">
        <f t="shared" si="227"/>
        <v>1.2041481481481484E-6</v>
      </c>
      <c r="BN120">
        <f t="shared" si="228"/>
        <v>1.2838889627048364E-2</v>
      </c>
      <c r="BO120" s="147">
        <f t="shared" si="229"/>
        <v>12.729133620148151</v>
      </c>
      <c r="BP120" s="153">
        <f t="shared" si="230"/>
        <v>4.000000000000001E-3</v>
      </c>
      <c r="BQ120" s="153">
        <f t="shared" si="231"/>
        <v>4.000000000000001E-3</v>
      </c>
      <c r="BR120" s="463"/>
      <c r="BT120" s="147">
        <f t="shared" si="232"/>
        <v>8.0000000000000018</v>
      </c>
      <c r="BU120" s="463">
        <f t="shared" si="233"/>
        <v>1.8062222222222227E-3</v>
      </c>
      <c r="BV120" s="463">
        <f t="shared" si="234"/>
        <v>4.1728088888888888E-3</v>
      </c>
      <c r="BW120" s="463">
        <f t="shared" si="235"/>
        <v>2.600593686189073E-4</v>
      </c>
      <c r="BX120" s="463">
        <f t="shared" si="236"/>
        <v>0</v>
      </c>
      <c r="BY120" s="463">
        <f t="shared" si="180"/>
        <v>6.991270871020229E-3</v>
      </c>
      <c r="BZ120" s="463">
        <f t="shared" si="166"/>
        <v>6.2390904797300188E-3</v>
      </c>
      <c r="CA120" s="549">
        <f t="shared" si="237"/>
        <v>4.0640000000000016E-3</v>
      </c>
      <c r="CB120" s="147">
        <f t="shared" si="238"/>
        <v>23.533451830480267</v>
      </c>
      <c r="CC120" s="153">
        <f t="shared" si="168"/>
        <v>3.1894160498068591E-2</v>
      </c>
      <c r="CD120" s="5">
        <f t="shared" si="239"/>
        <v>0.3600000000000001</v>
      </c>
      <c r="CE120" s="153">
        <f t="shared" si="240"/>
        <v>0.91861537192201725</v>
      </c>
      <c r="CF120" s="5">
        <f t="shared" si="241"/>
        <v>91.861537192201723</v>
      </c>
      <c r="CG120">
        <f t="shared" si="242"/>
        <v>10.000000000000002</v>
      </c>
      <c r="CI120" s="59">
        <f t="shared" si="243"/>
        <v>-50</v>
      </c>
      <c r="CJ120">
        <f t="shared" si="244"/>
        <v>-50</v>
      </c>
    </row>
    <row r="121" spans="5:88" x14ac:dyDescent="0.25">
      <c r="E121" s="150">
        <v>11</v>
      </c>
      <c r="F121" s="191">
        <f t="shared" si="245"/>
        <v>1.1000000000000001E-2</v>
      </c>
      <c r="G121" s="191">
        <f t="shared" si="183"/>
        <v>1.1000000000000001E-2</v>
      </c>
      <c r="H121" s="191">
        <f t="shared" si="184"/>
        <v>0.22000000000000003</v>
      </c>
      <c r="I121" s="191">
        <f t="shared" si="185"/>
        <v>0.17600000000000002</v>
      </c>
      <c r="J121" s="472">
        <f t="shared" si="186"/>
        <v>9</v>
      </c>
      <c r="K121" s="386">
        <f t="shared" si="187"/>
        <v>20.32</v>
      </c>
      <c r="L121" s="386">
        <f t="shared" si="188"/>
        <v>29.32</v>
      </c>
      <c r="M121" s="386"/>
      <c r="N121" s="191">
        <f t="shared" si="189"/>
        <v>0.69304229195088674</v>
      </c>
      <c r="O121" s="152">
        <f t="shared" si="190"/>
        <v>1.1695088676671213</v>
      </c>
      <c r="P121" s="152">
        <f t="shared" si="191"/>
        <v>1.6840927694406547</v>
      </c>
      <c r="Q121" s="191">
        <f t="shared" si="192"/>
        <v>5.8475443383356064E-2</v>
      </c>
      <c r="R121" s="191">
        <f t="shared" si="193"/>
        <v>7.3094304229195078E-2</v>
      </c>
      <c r="S121" s="191">
        <f t="shared" si="194"/>
        <v>20</v>
      </c>
      <c r="T121" s="191">
        <f t="shared" si="195"/>
        <v>0.14108486439195103</v>
      </c>
      <c r="U121" s="191">
        <f t="shared" si="196"/>
        <v>2.3514144065325171</v>
      </c>
      <c r="V121" s="191">
        <f t="shared" si="197"/>
        <v>1.041472916279166</v>
      </c>
      <c r="W121" s="175">
        <f t="shared" si="198"/>
        <v>277.21691678035478</v>
      </c>
      <c r="X121" s="386">
        <f t="shared" si="199"/>
        <v>294.73422040178474</v>
      </c>
      <c r="Z121" s="191">
        <f t="shared" si="200"/>
        <v>0.14999999999999997</v>
      </c>
      <c r="AA121" s="153">
        <f t="shared" si="201"/>
        <v>1.1072834645669287</v>
      </c>
      <c r="AB121" s="153">
        <f t="shared" si="202"/>
        <v>1.2789904502046381E-2</v>
      </c>
      <c r="AC121" s="153"/>
      <c r="AD121" s="153">
        <f t="shared" si="203"/>
        <v>1.1072834645669289</v>
      </c>
      <c r="AE121" s="317">
        <f t="shared" si="204"/>
        <v>132.45629629629633</v>
      </c>
      <c r="AF121" s="463">
        <f t="shared" si="205"/>
        <v>2.3021828103683497E-2</v>
      </c>
      <c r="AH121" s="153">
        <f t="shared" si="206"/>
        <v>0.12282391577259817</v>
      </c>
      <c r="AI121" s="153">
        <f t="shared" si="207"/>
        <v>0.15</v>
      </c>
      <c r="AJ121" s="153">
        <f t="shared" si="208"/>
        <v>1.0756893121693123</v>
      </c>
      <c r="AL121" s="317">
        <f t="shared" si="209"/>
        <v>11.000000000000002</v>
      </c>
      <c r="AM121" s="147">
        <f t="shared" si="210"/>
        <v>132.45629629629633</v>
      </c>
      <c r="AO121" s="147">
        <f t="shared" si="211"/>
        <v>11.000000000000002</v>
      </c>
      <c r="AP121" s="147">
        <f t="shared" si="212"/>
        <v>132.45629629629633</v>
      </c>
      <c r="AR121" s="5">
        <f t="shared" si="160"/>
        <v>7.549659985683606</v>
      </c>
      <c r="AS121" s="5">
        <f t="shared" si="246"/>
        <v>2.5</v>
      </c>
      <c r="AT121" s="5">
        <f t="shared" si="247"/>
        <v>5.049659985683606</v>
      </c>
      <c r="AU121" s="153">
        <f t="shared" si="248"/>
        <v>0.33114074074074079</v>
      </c>
      <c r="AW121" s="5">
        <f t="shared" si="216"/>
        <v>0.13750000000000001</v>
      </c>
      <c r="AX121" s="5"/>
      <c r="AY121" s="5">
        <f t="shared" si="217"/>
        <v>0.17187500000000003</v>
      </c>
      <c r="AZ121" s="5"/>
      <c r="BA121" s="5">
        <f t="shared" si="218"/>
        <v>0.13715125887041896</v>
      </c>
      <c r="BB121" s="5"/>
      <c r="BC121" s="5"/>
      <c r="BD121" s="153">
        <f t="shared" si="219"/>
        <v>4.9835284242748697E-2</v>
      </c>
      <c r="BE121" s="153">
        <f t="shared" si="220"/>
        <v>7.0826862449528599E-2</v>
      </c>
      <c r="BF121" s="153">
        <f t="shared" si="221"/>
        <v>7.0549110047765748E-2</v>
      </c>
      <c r="BG121" s="153"/>
      <c r="BH121" s="463">
        <f t="shared" si="222"/>
        <v>8.6924444444444471E-4</v>
      </c>
      <c r="BI121" s="463">
        <f t="shared" si="223"/>
        <v>2.9127139555555561E-3</v>
      </c>
      <c r="BJ121" s="463">
        <f t="shared" si="224"/>
        <v>1.6557037037037039E-3</v>
      </c>
      <c r="BK121" s="463">
        <f t="shared" si="225"/>
        <v>5.6933848784592612E-3</v>
      </c>
      <c r="BL121">
        <f t="shared" si="226"/>
        <v>2.6099999999999999E-3</v>
      </c>
      <c r="BM121">
        <f t="shared" si="227"/>
        <v>1.3245629629629633E-6</v>
      </c>
      <c r="BN121">
        <f t="shared" si="228"/>
        <v>1.3861942662497592E-2</v>
      </c>
      <c r="BO121" s="147">
        <f t="shared" si="229"/>
        <v>13.741046982162965</v>
      </c>
      <c r="BP121" s="153">
        <f t="shared" si="230"/>
        <v>4.4000000000000003E-3</v>
      </c>
      <c r="BQ121" s="153">
        <f t="shared" si="231"/>
        <v>4.4000000000000003E-3</v>
      </c>
      <c r="BR121" s="463"/>
      <c r="BT121" s="147">
        <f t="shared" si="232"/>
        <v>8.8000000000000007</v>
      </c>
      <c r="BU121" s="463">
        <f t="shared" si="233"/>
        <v>1.9868444444444454E-3</v>
      </c>
      <c r="BV121" s="463">
        <f t="shared" si="234"/>
        <v>3.993089777777778E-3</v>
      </c>
      <c r="BW121" s="463">
        <f t="shared" si="235"/>
        <v>2.4885884642658808E-4</v>
      </c>
      <c r="BX121" s="463">
        <f t="shared" si="236"/>
        <v>0</v>
      </c>
      <c r="BY121" s="463">
        <f t="shared" si="180"/>
        <v>6.9797262585298853E-3</v>
      </c>
      <c r="BZ121" s="463">
        <f t="shared" si="166"/>
        <v>6.2287930686488113E-3</v>
      </c>
      <c r="CA121" s="549">
        <f t="shared" si="237"/>
        <v>4.4704000000000011E-3</v>
      </c>
      <c r="CB121" s="147">
        <f t="shared" si="238"/>
        <v>23.907712395827506</v>
      </c>
      <c r="CC121" s="153">
        <f t="shared" si="168"/>
        <v>3.4112068921027479E-2</v>
      </c>
      <c r="CD121" s="5">
        <f t="shared" si="239"/>
        <v>0.39600000000000002</v>
      </c>
      <c r="CE121" s="153">
        <f t="shared" si="240"/>
        <v>0.92069027728842745</v>
      </c>
      <c r="CF121" s="5">
        <f t="shared" si="241"/>
        <v>92.069027728842741</v>
      </c>
      <c r="CG121">
        <f t="shared" si="242"/>
        <v>11</v>
      </c>
      <c r="CI121" s="59">
        <f t="shared" si="243"/>
        <v>-50</v>
      </c>
      <c r="CJ121">
        <f t="shared" si="244"/>
        <v>-50</v>
      </c>
    </row>
    <row r="122" spans="5:88" x14ac:dyDescent="0.25">
      <c r="E122" s="150">
        <v>12</v>
      </c>
      <c r="F122" s="191">
        <f t="shared" si="245"/>
        <v>1.2E-2</v>
      </c>
      <c r="G122" s="191">
        <f t="shared" si="183"/>
        <v>1.2E-2</v>
      </c>
      <c r="H122" s="191">
        <f t="shared" si="184"/>
        <v>0.24</v>
      </c>
      <c r="I122" s="191">
        <f t="shared" si="185"/>
        <v>0.192</v>
      </c>
      <c r="J122" s="472">
        <f t="shared" si="186"/>
        <v>9</v>
      </c>
      <c r="K122" s="386">
        <f t="shared" si="187"/>
        <v>20.32</v>
      </c>
      <c r="L122" s="386">
        <f t="shared" si="188"/>
        <v>29.32</v>
      </c>
      <c r="M122" s="386"/>
      <c r="N122" s="191">
        <f t="shared" si="189"/>
        <v>0.69304229195088674</v>
      </c>
      <c r="O122" s="152">
        <f t="shared" si="190"/>
        <v>1.1695088676671213</v>
      </c>
      <c r="P122" s="152">
        <f t="shared" si="191"/>
        <v>1.6840927694406547</v>
      </c>
      <c r="Q122" s="191">
        <f t="shared" si="192"/>
        <v>5.8475443383356064E-2</v>
      </c>
      <c r="R122" s="191">
        <f t="shared" si="193"/>
        <v>7.3094304229195078E-2</v>
      </c>
      <c r="S122" s="191">
        <f t="shared" si="194"/>
        <v>20</v>
      </c>
      <c r="T122" s="191">
        <f t="shared" si="195"/>
        <v>0.15391076115485566</v>
      </c>
      <c r="U122" s="191">
        <f t="shared" si="196"/>
        <v>2.5651793525809277</v>
      </c>
      <c r="V122" s="191">
        <f t="shared" si="197"/>
        <v>1.1361522723045447</v>
      </c>
      <c r="W122" s="175">
        <f t="shared" si="198"/>
        <v>277.21691678035478</v>
      </c>
      <c r="X122" s="386">
        <f t="shared" si="199"/>
        <v>270.17303536830269</v>
      </c>
      <c r="Z122" s="191">
        <f t="shared" si="200"/>
        <v>0.14999999999999997</v>
      </c>
      <c r="AA122" s="153">
        <f t="shared" si="201"/>
        <v>1.1072834645669287</v>
      </c>
      <c r="AB122" s="153">
        <f t="shared" si="202"/>
        <v>1.2789904502046381E-2</v>
      </c>
      <c r="AC122" s="153"/>
      <c r="AD122" s="153">
        <f t="shared" si="203"/>
        <v>1.1072834645669289</v>
      </c>
      <c r="AE122" s="317">
        <f t="shared" si="204"/>
        <v>144.49777777777777</v>
      </c>
      <c r="AF122" s="463">
        <f t="shared" si="205"/>
        <v>2.3021828103683497E-2</v>
      </c>
      <c r="AH122" s="153">
        <f t="shared" si="206"/>
        <v>0.12828539611796372</v>
      </c>
      <c r="AI122" s="153">
        <f t="shared" si="207"/>
        <v>0.15</v>
      </c>
      <c r="AJ122" s="153">
        <f t="shared" si="208"/>
        <v>1.0825701587301588</v>
      </c>
      <c r="AL122" s="317">
        <f t="shared" si="209"/>
        <v>12</v>
      </c>
      <c r="AM122" s="147">
        <f t="shared" si="210"/>
        <v>144.49777777777777</v>
      </c>
      <c r="AO122" s="147">
        <f t="shared" si="211"/>
        <v>12</v>
      </c>
      <c r="AP122" s="147">
        <f t="shared" si="212"/>
        <v>144.49777777777777</v>
      </c>
      <c r="AR122" s="5">
        <f t="shared" si="160"/>
        <v>6.9205216535433074</v>
      </c>
      <c r="AS122" s="5">
        <f t="shared" si="246"/>
        <v>2.5</v>
      </c>
      <c r="AT122" s="5">
        <f t="shared" si="247"/>
        <v>4.4205216535433074</v>
      </c>
      <c r="AU122" s="153">
        <f t="shared" si="248"/>
        <v>0.36124444444444442</v>
      </c>
      <c r="AW122" s="5">
        <f t="shared" si="216"/>
        <v>0.15</v>
      </c>
      <c r="AX122" s="5"/>
      <c r="AY122" s="5">
        <f t="shared" si="217"/>
        <v>0.1875</v>
      </c>
      <c r="AZ122" s="5"/>
      <c r="BA122" s="5">
        <f t="shared" si="218"/>
        <v>0.13097841936424615</v>
      </c>
      <c r="BB122" s="5"/>
      <c r="BC122" s="5"/>
      <c r="BD122" s="153">
        <f t="shared" si="219"/>
        <v>5.2051256789181689E-2</v>
      </c>
      <c r="BE122" s="153">
        <f t="shared" si="220"/>
        <v>6.9214641996232742E-2</v>
      </c>
      <c r="BF122" s="153">
        <f t="shared" si="221"/>
        <v>6.8943212027620077E-2</v>
      </c>
      <c r="BG122" s="153"/>
      <c r="BH122" s="463">
        <f t="shared" si="222"/>
        <v>9.4826666666666655E-4</v>
      </c>
      <c r="BI122" s="463">
        <f t="shared" si="223"/>
        <v>3.1775061333333336E-3</v>
      </c>
      <c r="BJ122" s="463">
        <f t="shared" si="224"/>
        <v>1.8062222222222219E-3</v>
      </c>
      <c r="BK122" s="463">
        <f t="shared" si="225"/>
        <v>6.2109653219555557E-3</v>
      </c>
      <c r="BL122">
        <f t="shared" si="226"/>
        <v>2.6099999999999999E-3</v>
      </c>
      <c r="BM122">
        <f t="shared" si="227"/>
        <v>1.4449777777777777E-6</v>
      </c>
      <c r="BN122">
        <f t="shared" si="228"/>
        <v>1.4885025534574962E-2</v>
      </c>
      <c r="BO122" s="147">
        <f t="shared" si="229"/>
        <v>14.752960344177778</v>
      </c>
      <c r="BP122" s="153">
        <f t="shared" si="230"/>
        <v>4.8000000000000004E-3</v>
      </c>
      <c r="BQ122" s="153">
        <f t="shared" si="231"/>
        <v>4.8000000000000004E-3</v>
      </c>
      <c r="BR122" s="463"/>
      <c r="BT122" s="147">
        <f t="shared" si="232"/>
        <v>9.6000000000000014</v>
      </c>
      <c r="BU122" s="463">
        <f t="shared" si="233"/>
        <v>2.1674666666666666E-3</v>
      </c>
      <c r="BV122" s="463">
        <f t="shared" si="234"/>
        <v>3.8133706666666658E-3</v>
      </c>
      <c r="BW122" s="463">
        <f t="shared" si="235"/>
        <v>2.3765832423426888E-4</v>
      </c>
      <c r="BX122" s="463">
        <f t="shared" si="236"/>
        <v>0</v>
      </c>
      <c r="BY122" s="463">
        <f t="shared" si="180"/>
        <v>6.9681816650697444E-3</v>
      </c>
      <c r="BZ122" s="463">
        <f t="shared" si="166"/>
        <v>6.2184956575676012E-3</v>
      </c>
      <c r="CA122" s="549">
        <f t="shared" si="237"/>
        <v>4.8767999999999997E-3</v>
      </c>
      <c r="CB122" s="147">
        <f t="shared" si="238"/>
        <v>24.281972980204948</v>
      </c>
      <c r="CC122" s="153">
        <f t="shared" si="168"/>
        <v>3.6330007199644708E-2</v>
      </c>
      <c r="CD122" s="5">
        <f t="shared" si="239"/>
        <v>0.432</v>
      </c>
      <c r="CE122" s="153">
        <f t="shared" si="240"/>
        <v>0.92242647995827109</v>
      </c>
      <c r="CF122" s="5">
        <f t="shared" si="241"/>
        <v>92.242647995827113</v>
      </c>
      <c r="CG122">
        <f t="shared" si="242"/>
        <v>12</v>
      </c>
      <c r="CI122" s="59">
        <f t="shared" si="243"/>
        <v>-50</v>
      </c>
      <c r="CJ122">
        <f t="shared" si="244"/>
        <v>-50</v>
      </c>
    </row>
    <row r="123" spans="5:88" x14ac:dyDescent="0.25">
      <c r="E123" s="150">
        <v>13</v>
      </c>
      <c r="F123" s="191">
        <f t="shared" si="245"/>
        <v>1.3000000000000001E-2</v>
      </c>
      <c r="G123" s="191">
        <f t="shared" si="183"/>
        <v>1.3000000000000001E-2</v>
      </c>
      <c r="H123" s="191">
        <f t="shared" si="184"/>
        <v>0.26</v>
      </c>
      <c r="I123" s="191">
        <f t="shared" si="185"/>
        <v>0.20800000000000002</v>
      </c>
      <c r="J123" s="472">
        <f t="shared" si="186"/>
        <v>9</v>
      </c>
      <c r="K123" s="386">
        <f t="shared" si="187"/>
        <v>20.32</v>
      </c>
      <c r="L123" s="386">
        <f t="shared" si="188"/>
        <v>29.32</v>
      </c>
      <c r="M123" s="386"/>
      <c r="N123" s="191">
        <f t="shared" si="189"/>
        <v>0.69304229195088674</v>
      </c>
      <c r="O123" s="152">
        <f t="shared" si="190"/>
        <v>1.1695088676671213</v>
      </c>
      <c r="P123" s="152">
        <f t="shared" si="191"/>
        <v>1.6840927694406547</v>
      </c>
      <c r="Q123" s="191">
        <f t="shared" si="192"/>
        <v>5.8475443383356064E-2</v>
      </c>
      <c r="R123" s="191">
        <f t="shared" si="193"/>
        <v>7.3094304229195078E-2</v>
      </c>
      <c r="S123" s="191">
        <f t="shared" si="194"/>
        <v>20</v>
      </c>
      <c r="T123" s="191">
        <f t="shared" si="195"/>
        <v>0.16673665791776029</v>
      </c>
      <c r="U123" s="191">
        <f t="shared" si="196"/>
        <v>2.7789442986293382</v>
      </c>
      <c r="V123" s="191">
        <f t="shared" si="197"/>
        <v>1.2308316283299232</v>
      </c>
      <c r="W123" s="175">
        <f t="shared" si="198"/>
        <v>277.21691678035478</v>
      </c>
      <c r="X123" s="386">
        <f t="shared" si="199"/>
        <v>249.39049418612558</v>
      </c>
      <c r="Z123" s="191">
        <f t="shared" si="200"/>
        <v>0.14999999999999997</v>
      </c>
      <c r="AA123" s="153">
        <f t="shared" si="201"/>
        <v>1.1072834645669287</v>
      </c>
      <c r="AB123" s="153">
        <f t="shared" si="202"/>
        <v>1.2789904502046381E-2</v>
      </c>
      <c r="AC123" s="153"/>
      <c r="AD123" s="153">
        <f t="shared" si="203"/>
        <v>1.1072834645669289</v>
      </c>
      <c r="AE123" s="317">
        <f t="shared" si="204"/>
        <v>156.53925925925927</v>
      </c>
      <c r="AF123" s="463">
        <f t="shared" si="205"/>
        <v>2.3021828103683497E-2</v>
      </c>
      <c r="AH123" s="153">
        <f t="shared" si="206"/>
        <v>0.13352367366340484</v>
      </c>
      <c r="AI123" s="153">
        <f t="shared" si="207"/>
        <v>0.16673665791776029</v>
      </c>
      <c r="AJ123" s="153">
        <f t="shared" si="208"/>
        <v>1.0894510052910054</v>
      </c>
      <c r="AL123" s="317">
        <f t="shared" si="209"/>
        <v>13.000000000000002</v>
      </c>
      <c r="AM123" s="147">
        <f t="shared" si="210"/>
        <v>156.53925925925927</v>
      </c>
      <c r="AO123" s="147">
        <f t="shared" si="211"/>
        <v>13.000000000000002</v>
      </c>
      <c r="AP123" s="147">
        <f t="shared" si="212"/>
        <v>156.53925925925927</v>
      </c>
      <c r="AR123" s="5">
        <f t="shared" si="160"/>
        <v>6.3881738340399759</v>
      </c>
      <c r="AS123" s="5">
        <f t="shared" si="246"/>
        <v>2.7789442986293382</v>
      </c>
      <c r="AT123" s="5">
        <f t="shared" si="247"/>
        <v>3.6092295354106376</v>
      </c>
      <c r="AU123" s="153">
        <f t="shared" si="248"/>
        <v>0.43501388203017838</v>
      </c>
      <c r="AW123" s="5">
        <f t="shared" si="216"/>
        <v>0.18063137941090698</v>
      </c>
      <c r="AX123" s="5"/>
      <c r="AY123" s="5">
        <f t="shared" si="217"/>
        <v>0.22578922426363374</v>
      </c>
      <c r="AZ123" s="5"/>
      <c r="BA123" s="5">
        <f t="shared" si="218"/>
        <v>0.11585181224774888</v>
      </c>
      <c r="BB123" s="5"/>
      <c r="BC123" s="5"/>
      <c r="BD123" s="153">
        <f t="shared" si="219"/>
        <v>6.3492440840360653E-2</v>
      </c>
      <c r="BE123" s="153">
        <f t="shared" si="220"/>
        <v>7.2358466360162091E-2</v>
      </c>
      <c r="BF123" s="153">
        <f t="shared" si="221"/>
        <v>7.2074707668553617E-2</v>
      </c>
      <c r="BG123" s="153"/>
      <c r="BH123" s="463">
        <f t="shared" si="222"/>
        <v>1.4109515153533441E-3</v>
      </c>
      <c r="BI123" s="463">
        <f t="shared" si="223"/>
        <v>3.826382106337449E-3</v>
      </c>
      <c r="BJ123" s="463">
        <f t="shared" si="224"/>
        <v>1.9567407407407407E-3</v>
      </c>
      <c r="BK123" s="463">
        <f t="shared" si="225"/>
        <v>6.7285457654518528E-3</v>
      </c>
      <c r="BL123">
        <f t="shared" si="226"/>
        <v>2.6099999999999999E-3</v>
      </c>
      <c r="BM123">
        <f t="shared" si="227"/>
        <v>1.5653925925925926E-6</v>
      </c>
      <c r="BN123">
        <f t="shared" si="228"/>
        <v>1.6729018882521804E-2</v>
      </c>
      <c r="BO123" s="147">
        <f t="shared" si="229"/>
        <v>16.532620127883387</v>
      </c>
      <c r="BP123" s="153">
        <f t="shared" si="230"/>
        <v>5.2000000000000006E-3</v>
      </c>
      <c r="BQ123" s="153">
        <f t="shared" si="231"/>
        <v>5.2000000000000006E-3</v>
      </c>
      <c r="BR123" s="463"/>
      <c r="BT123" s="147">
        <f t="shared" si="232"/>
        <v>10.400000000000002</v>
      </c>
      <c r="BU123" s="463">
        <f t="shared" si="233"/>
        <v>3.225032035093358E-3</v>
      </c>
      <c r="BV123" s="463">
        <f t="shared" si="234"/>
        <v>4.1676551325797884E-3</v>
      </c>
      <c r="BW123" s="463">
        <f t="shared" si="235"/>
        <v>2.5973817427537308E-4</v>
      </c>
      <c r="BX123" s="463">
        <f t="shared" si="236"/>
        <v>0</v>
      </c>
      <c r="BY123" s="463">
        <f t="shared" si="180"/>
        <v>8.5759665384760025E-3</v>
      </c>
      <c r="BZ123" s="463">
        <f t="shared" si="166"/>
        <v>7.6524253419485199E-3</v>
      </c>
      <c r="CA123" s="549">
        <f t="shared" si="237"/>
        <v>6.5279484753788513E-3</v>
      </c>
      <c r="CB123" s="147">
        <f t="shared" si="238"/>
        <v>30.408765697751896</v>
      </c>
      <c r="CC123" s="153">
        <f t="shared" si="168"/>
        <v>4.2232933896376661E-2</v>
      </c>
      <c r="CD123" s="5">
        <f t="shared" si="239"/>
        <v>0.46800000000000003</v>
      </c>
      <c r="CE123" s="153">
        <f t="shared" si="240"/>
        <v>0.91722813034849338</v>
      </c>
      <c r="CF123" s="5">
        <f t="shared" si="241"/>
        <v>91.722813034849338</v>
      </c>
      <c r="CG123">
        <f t="shared" si="242"/>
        <v>13</v>
      </c>
      <c r="CI123" s="59">
        <f t="shared" si="243"/>
        <v>-50</v>
      </c>
      <c r="CJ123">
        <f t="shared" si="244"/>
        <v>-50</v>
      </c>
    </row>
    <row r="124" spans="5:88" x14ac:dyDescent="0.25">
      <c r="E124" s="150">
        <v>14</v>
      </c>
      <c r="F124" s="191">
        <f t="shared" si="245"/>
        <v>1.4000000000000002E-2</v>
      </c>
      <c r="G124" s="191">
        <f t="shared" si="183"/>
        <v>1.4000000000000002E-2</v>
      </c>
      <c r="H124" s="191">
        <f t="shared" si="184"/>
        <v>0.28000000000000003</v>
      </c>
      <c r="I124" s="191">
        <f t="shared" si="185"/>
        <v>0.22400000000000003</v>
      </c>
      <c r="J124" s="472">
        <f t="shared" si="186"/>
        <v>9</v>
      </c>
      <c r="K124" s="386">
        <f t="shared" si="187"/>
        <v>20.32</v>
      </c>
      <c r="L124" s="386">
        <f t="shared" si="188"/>
        <v>29.32</v>
      </c>
      <c r="M124" s="386"/>
      <c r="N124" s="191">
        <f t="shared" si="189"/>
        <v>0.69304229195088674</v>
      </c>
      <c r="O124" s="152">
        <f t="shared" si="190"/>
        <v>1.1695088676671213</v>
      </c>
      <c r="P124" s="152">
        <f t="shared" si="191"/>
        <v>1.6840927694406547</v>
      </c>
      <c r="Q124" s="191">
        <f t="shared" si="192"/>
        <v>5.8475443383356064E-2</v>
      </c>
      <c r="R124" s="191">
        <f t="shared" si="193"/>
        <v>7.3094304229195078E-2</v>
      </c>
      <c r="S124" s="191">
        <f t="shared" si="194"/>
        <v>20</v>
      </c>
      <c r="T124" s="191">
        <f t="shared" si="195"/>
        <v>0.17956255468066493</v>
      </c>
      <c r="U124" s="191">
        <f t="shared" si="196"/>
        <v>2.9927092446777483</v>
      </c>
      <c r="V124" s="191">
        <f t="shared" si="197"/>
        <v>1.3255109843553021</v>
      </c>
      <c r="W124" s="175">
        <f t="shared" si="198"/>
        <v>277.21691678035478</v>
      </c>
      <c r="X124" s="386">
        <f t="shared" si="199"/>
        <v>231.5768874585452</v>
      </c>
      <c r="Z124" s="191">
        <f t="shared" si="200"/>
        <v>0.14999999999999997</v>
      </c>
      <c r="AA124" s="153">
        <f t="shared" si="201"/>
        <v>1.1072834645669287</v>
      </c>
      <c r="AB124" s="153">
        <f t="shared" si="202"/>
        <v>1.2789904502046381E-2</v>
      </c>
      <c r="AC124" s="153"/>
      <c r="AD124" s="153">
        <f t="shared" si="203"/>
        <v>1.1072834645669289</v>
      </c>
      <c r="AE124" s="317">
        <f t="shared" si="204"/>
        <v>168.58074074074079</v>
      </c>
      <c r="AF124" s="463">
        <f t="shared" si="205"/>
        <v>2.3021828103683497E-2</v>
      </c>
      <c r="AH124" s="153">
        <f t="shared" si="206"/>
        <v>0.13856406460551018</v>
      </c>
      <c r="AI124" s="153">
        <f t="shared" si="207"/>
        <v>0.17956255468066493</v>
      </c>
      <c r="AJ124" s="153">
        <f t="shared" si="208"/>
        <v>1.0963318518518519</v>
      </c>
      <c r="AL124" s="317">
        <f t="shared" si="209"/>
        <v>14.000000000000002</v>
      </c>
      <c r="AM124" s="147">
        <f t="shared" si="210"/>
        <v>168.58074074074079</v>
      </c>
      <c r="AO124" s="147">
        <f t="shared" si="211"/>
        <v>14.000000000000002</v>
      </c>
      <c r="AP124" s="147">
        <f t="shared" si="212"/>
        <v>168.58074074074079</v>
      </c>
      <c r="AR124" s="5">
        <f t="shared" si="160"/>
        <v>5.931875703037119</v>
      </c>
      <c r="AS124" s="5">
        <f t="shared" si="246"/>
        <v>2.9927092446777483</v>
      </c>
      <c r="AT124" s="5">
        <f t="shared" si="247"/>
        <v>2.9391664583593706</v>
      </c>
      <c r="AU124" s="153">
        <f t="shared" si="248"/>
        <v>0.50451314128943769</v>
      </c>
      <c r="AW124" s="5">
        <f t="shared" si="216"/>
        <v>0.20948964712744245</v>
      </c>
      <c r="AX124" s="5"/>
      <c r="AY124" s="5">
        <f t="shared" si="217"/>
        <v>0.26186205890930303</v>
      </c>
      <c r="AZ124" s="5"/>
      <c r="BA124" s="5">
        <f t="shared" si="218"/>
        <v>0.10160081584452146</v>
      </c>
      <c r="BB124" s="5"/>
      <c r="BC124" s="5"/>
      <c r="BD124" s="153">
        <f t="shared" si="219"/>
        <v>7.3636203578169745E-2</v>
      </c>
      <c r="BE124" s="153">
        <f t="shared" si="220"/>
        <v>7.2974515211887053E-2</v>
      </c>
      <c r="BF124" s="153">
        <f t="shared" si="221"/>
        <v>7.268834064242867E-2</v>
      </c>
      <c r="BG124" s="153"/>
      <c r="BH124" s="463">
        <f t="shared" si="222"/>
        <v>1.8978016670919806E-3</v>
      </c>
      <c r="BI124" s="463">
        <f t="shared" si="223"/>
        <v>4.4376975907818948E-3</v>
      </c>
      <c r="BJ124" s="463">
        <f t="shared" si="224"/>
        <v>2.1072592592592597E-3</v>
      </c>
      <c r="BK124" s="463">
        <f t="shared" si="225"/>
        <v>7.2461262089481516E-3</v>
      </c>
      <c r="BL124">
        <f t="shared" si="226"/>
        <v>2.6099999999999999E-3</v>
      </c>
      <c r="BM124">
        <f t="shared" si="227"/>
        <v>1.6858074074074079E-6</v>
      </c>
      <c r="BN124">
        <f t="shared" si="228"/>
        <v>1.8563273584978241E-2</v>
      </c>
      <c r="BO124" s="147">
        <f t="shared" si="229"/>
        <v>18.298884726081287</v>
      </c>
      <c r="BP124" s="153">
        <f t="shared" si="230"/>
        <v>5.6000000000000008E-3</v>
      </c>
      <c r="BQ124" s="153">
        <f t="shared" si="231"/>
        <v>5.6000000000000008E-3</v>
      </c>
      <c r="BR124" s="463"/>
      <c r="BT124" s="147">
        <f t="shared" si="232"/>
        <v>11.200000000000001</v>
      </c>
      <c r="BU124" s="463">
        <f t="shared" si="233"/>
        <v>4.3378323819245274E-3</v>
      </c>
      <c r="BV124" s="463">
        <f t="shared" si="234"/>
        <v>4.2389227768463086E-3</v>
      </c>
      <c r="BW124" s="463">
        <f t="shared" si="235"/>
        <v>2.641797432674874E-4</v>
      </c>
      <c r="BX124" s="463">
        <f t="shared" si="236"/>
        <v>0</v>
      </c>
      <c r="BY124" s="463">
        <f t="shared" si="180"/>
        <v>9.9088553739080758E-3</v>
      </c>
      <c r="BZ124" s="463">
        <f t="shared" si="166"/>
        <v>8.8409349020383225E-3</v>
      </c>
      <c r="CA124" s="549">
        <f t="shared" si="237"/>
        <v>8.1532501667908822E-3</v>
      </c>
      <c r="CB124" s="147">
        <f t="shared" si="238"/>
        <v>35.743975344775599</v>
      </c>
      <c r="CC124" s="153">
        <f t="shared" si="168"/>
        <v>4.7825379125677199E-2</v>
      </c>
      <c r="CD124" s="5">
        <f t="shared" si="239"/>
        <v>0.504</v>
      </c>
      <c r="CE124" s="153">
        <f t="shared" si="240"/>
        <v>0.91333240380960246</v>
      </c>
      <c r="CF124" s="5">
        <f t="shared" si="241"/>
        <v>91.333240380960248</v>
      </c>
      <c r="CG124">
        <f t="shared" si="242"/>
        <v>14.000000000000002</v>
      </c>
      <c r="CI124" s="59">
        <f t="shared" si="243"/>
        <v>-50</v>
      </c>
      <c r="CJ124">
        <f t="shared" si="244"/>
        <v>-50</v>
      </c>
    </row>
    <row r="125" spans="5:88" x14ac:dyDescent="0.25">
      <c r="E125" s="150">
        <v>15</v>
      </c>
      <c r="F125" s="191">
        <f t="shared" si="245"/>
        <v>1.4999999999999999E-2</v>
      </c>
      <c r="G125" s="191">
        <f t="shared" si="183"/>
        <v>1.4999999999999999E-2</v>
      </c>
      <c r="H125" s="191">
        <f t="shared" si="184"/>
        <v>0.3</v>
      </c>
      <c r="I125" s="191">
        <f t="shared" si="185"/>
        <v>0.24</v>
      </c>
      <c r="J125" s="472">
        <f t="shared" si="186"/>
        <v>9</v>
      </c>
      <c r="K125" s="386">
        <f t="shared" si="187"/>
        <v>20.32</v>
      </c>
      <c r="L125" s="386">
        <f t="shared" si="188"/>
        <v>29.32</v>
      </c>
      <c r="M125" s="386"/>
      <c r="N125" s="191">
        <f t="shared" si="189"/>
        <v>0.69304229195088674</v>
      </c>
      <c r="O125" s="152">
        <f t="shared" si="190"/>
        <v>1.1695088676671213</v>
      </c>
      <c r="P125" s="152">
        <f t="shared" si="191"/>
        <v>1.6840927694406547</v>
      </c>
      <c r="Q125" s="191">
        <f t="shared" si="192"/>
        <v>5.8475443383356064E-2</v>
      </c>
      <c r="R125" s="191">
        <f t="shared" si="193"/>
        <v>7.3094304229195078E-2</v>
      </c>
      <c r="S125" s="191">
        <f t="shared" si="194"/>
        <v>20</v>
      </c>
      <c r="T125" s="191">
        <f t="shared" si="195"/>
        <v>0.19238845144356959</v>
      </c>
      <c r="U125" s="191">
        <f t="shared" si="196"/>
        <v>3.2064741907261589</v>
      </c>
      <c r="V125" s="191">
        <f t="shared" si="197"/>
        <v>1.4201903403806808</v>
      </c>
      <c r="W125" s="175">
        <f t="shared" si="198"/>
        <v>277.21691678035478</v>
      </c>
      <c r="X125" s="386">
        <f t="shared" si="199"/>
        <v>216.13842829464215</v>
      </c>
      <c r="Z125" s="191">
        <f t="shared" si="200"/>
        <v>0.14999999999999997</v>
      </c>
      <c r="AA125" s="153">
        <f t="shared" si="201"/>
        <v>1.1072834645669287</v>
      </c>
      <c r="AB125" s="153">
        <f t="shared" si="202"/>
        <v>1.2789904502046381E-2</v>
      </c>
      <c r="AC125" s="153"/>
      <c r="AD125" s="153">
        <f t="shared" si="203"/>
        <v>1.1072834645669289</v>
      </c>
      <c r="AE125" s="317">
        <f t="shared" si="204"/>
        <v>180.62222222222221</v>
      </c>
      <c r="AF125" s="463">
        <f t="shared" si="205"/>
        <v>2.3021828103683497E-2</v>
      </c>
      <c r="AH125" s="153">
        <f t="shared" si="206"/>
        <v>0.14342743312012723</v>
      </c>
      <c r="AI125" s="153">
        <f t="shared" si="207"/>
        <v>0.19238845144356959</v>
      </c>
      <c r="AJ125" s="153">
        <f t="shared" si="208"/>
        <v>1.1032126984126984</v>
      </c>
      <c r="AL125" s="317">
        <f t="shared" si="209"/>
        <v>15</v>
      </c>
      <c r="AM125" s="147">
        <f t="shared" si="210"/>
        <v>180.62222222222221</v>
      </c>
      <c r="AO125" s="147">
        <f t="shared" si="211"/>
        <v>15</v>
      </c>
      <c r="AP125" s="147">
        <f t="shared" si="212"/>
        <v>180.62222222222221</v>
      </c>
      <c r="AR125" s="5">
        <f t="shared" si="160"/>
        <v>5.5364173228346463</v>
      </c>
      <c r="AS125" s="5">
        <f t="shared" si="246"/>
        <v>3.2064741907261589</v>
      </c>
      <c r="AT125" s="5">
        <f t="shared" si="247"/>
        <v>2.3299431321084874</v>
      </c>
      <c r="AU125" s="153">
        <f t="shared" si="248"/>
        <v>0.57916049382716039</v>
      </c>
      <c r="AW125" s="5">
        <f t="shared" si="216"/>
        <v>0.24048556430446191</v>
      </c>
      <c r="AX125" s="5"/>
      <c r="AY125" s="5">
        <f t="shared" si="217"/>
        <v>0.30060695538057741</v>
      </c>
      <c r="AZ125" s="5"/>
      <c r="BA125" s="5">
        <f t="shared" si="218"/>
        <v>8.6294190078092123E-2</v>
      </c>
      <c r="BB125" s="5"/>
      <c r="BC125" s="5"/>
      <c r="BD125" s="153">
        <f t="shared" si="219"/>
        <v>8.4531356148409148E-2</v>
      </c>
      <c r="BE125" s="153">
        <f t="shared" si="220"/>
        <v>7.2057073980716077E-2</v>
      </c>
      <c r="BF125" s="153">
        <f t="shared" si="221"/>
        <v>7.177449722000738E-2</v>
      </c>
      <c r="BG125" s="153"/>
      <c r="BH125" s="463">
        <f t="shared" si="222"/>
        <v>2.5009425603012164E-3</v>
      </c>
      <c r="BI125" s="463">
        <f t="shared" si="223"/>
        <v>5.0942957037037042E-3</v>
      </c>
      <c r="BJ125" s="463">
        <f t="shared" si="224"/>
        <v>2.2577777777777774E-3</v>
      </c>
      <c r="BK125" s="463">
        <f t="shared" si="225"/>
        <v>7.7637066524444461E-3</v>
      </c>
      <c r="BL125">
        <f t="shared" si="226"/>
        <v>2.6099999999999999E-3</v>
      </c>
      <c r="BM125">
        <f t="shared" si="227"/>
        <v>1.8062222222222222E-6</v>
      </c>
      <c r="BN125">
        <f t="shared" si="228"/>
        <v>2.0575650258926423E-2</v>
      </c>
      <c r="BO125" s="147">
        <f t="shared" si="229"/>
        <v>20.226722694227142</v>
      </c>
      <c r="BP125" s="153">
        <f t="shared" si="230"/>
        <v>6.0000000000000001E-3</v>
      </c>
      <c r="BQ125" s="153">
        <f t="shared" si="231"/>
        <v>6.0000000000000001E-3</v>
      </c>
      <c r="BR125" s="463"/>
      <c r="BT125" s="147">
        <f t="shared" si="232"/>
        <v>12</v>
      </c>
      <c r="BU125" s="463">
        <f t="shared" si="233"/>
        <v>5.716440137831352E-3</v>
      </c>
      <c r="BV125" s="463">
        <f t="shared" si="234"/>
        <v>4.1330086408872622E-3</v>
      </c>
      <c r="BW125" s="463">
        <f t="shared" si="235"/>
        <v>2.5757892255924233E-4</v>
      </c>
      <c r="BX125" s="463">
        <f t="shared" si="236"/>
        <v>0</v>
      </c>
      <c r="BY125" s="463">
        <f t="shared" si="180"/>
        <v>1.1329031252046647E-2</v>
      </c>
      <c r="BZ125" s="463">
        <f t="shared" si="166"/>
        <v>1.0107027701277856E-2</v>
      </c>
      <c r="CA125" s="549">
        <f t="shared" si="237"/>
        <v>1.0028141149023041E-2</v>
      </c>
      <c r="CB125" s="147">
        <f t="shared" si="238"/>
        <v>41.571227803625398</v>
      </c>
      <c r="CC125" s="153">
        <f t="shared" si="168"/>
        <v>5.3932822659996112E-2</v>
      </c>
      <c r="CD125" s="5">
        <f t="shared" si="239"/>
        <v>0.54</v>
      </c>
      <c r="CE125" s="153">
        <f t="shared" si="240"/>
        <v>0.90919373268772752</v>
      </c>
      <c r="CF125" s="5">
        <f t="shared" si="241"/>
        <v>90.919373268772745</v>
      </c>
      <c r="CG125">
        <f t="shared" si="242"/>
        <v>15</v>
      </c>
      <c r="CI125" s="59">
        <f t="shared" si="243"/>
        <v>-50</v>
      </c>
      <c r="CJ125">
        <f t="shared" si="244"/>
        <v>-50</v>
      </c>
    </row>
    <row r="126" spans="5:88" x14ac:dyDescent="0.25">
      <c r="E126" s="150">
        <v>16</v>
      </c>
      <c r="F126" s="191">
        <f t="shared" si="245"/>
        <v>1.6E-2</v>
      </c>
      <c r="G126" s="191">
        <f t="shared" si="183"/>
        <v>1.6E-2</v>
      </c>
      <c r="H126" s="191">
        <f t="shared" si="184"/>
        <v>0.32</v>
      </c>
      <c r="I126" s="191">
        <f t="shared" si="185"/>
        <v>0.25600000000000001</v>
      </c>
      <c r="J126" s="472">
        <f t="shared" si="186"/>
        <v>9</v>
      </c>
      <c r="K126" s="386">
        <f t="shared" si="187"/>
        <v>20.32</v>
      </c>
      <c r="L126" s="386">
        <f t="shared" si="188"/>
        <v>29.32</v>
      </c>
      <c r="M126" s="386"/>
      <c r="N126" s="191">
        <f t="shared" si="189"/>
        <v>0.69304229195088674</v>
      </c>
      <c r="O126" s="152">
        <f t="shared" si="190"/>
        <v>1.1695088676671213</v>
      </c>
      <c r="P126" s="152">
        <f t="shared" si="191"/>
        <v>1.6840927694406547</v>
      </c>
      <c r="Q126" s="191">
        <f t="shared" si="192"/>
        <v>5.8475443383356064E-2</v>
      </c>
      <c r="R126" s="191">
        <f t="shared" si="193"/>
        <v>7.3094304229195078E-2</v>
      </c>
      <c r="S126" s="191">
        <f t="shared" si="194"/>
        <v>20</v>
      </c>
      <c r="T126" s="191">
        <f t="shared" si="195"/>
        <v>0.20521434820647422</v>
      </c>
      <c r="U126" s="191">
        <f t="shared" si="196"/>
        <v>3.4202391367745704</v>
      </c>
      <c r="V126" s="191">
        <f t="shared" si="197"/>
        <v>1.5148696964060597</v>
      </c>
      <c r="W126" s="175">
        <f t="shared" si="198"/>
        <v>277.21691678035478</v>
      </c>
      <c r="X126" s="386">
        <f t="shared" si="199"/>
        <v>202.629776526227</v>
      </c>
      <c r="Z126" s="191">
        <f t="shared" si="200"/>
        <v>0.14999999999999997</v>
      </c>
      <c r="AA126" s="153">
        <f t="shared" si="201"/>
        <v>1.1072834645669287</v>
      </c>
      <c r="AB126" s="153">
        <f t="shared" si="202"/>
        <v>1.2789904502046381E-2</v>
      </c>
      <c r="AC126" s="153"/>
      <c r="AD126" s="153">
        <f t="shared" si="203"/>
        <v>1.1072834645669289</v>
      </c>
      <c r="AE126" s="317">
        <f t="shared" si="204"/>
        <v>192.6637037037037</v>
      </c>
      <c r="AF126" s="463">
        <f t="shared" si="205"/>
        <v>2.3021828103683497E-2</v>
      </c>
      <c r="AH126" s="153">
        <f t="shared" si="206"/>
        <v>0.14813121596360826</v>
      </c>
      <c r="AI126" s="153">
        <f t="shared" si="207"/>
        <v>0.20521434820647422</v>
      </c>
      <c r="AJ126" s="153">
        <f t="shared" si="208"/>
        <v>1.110093544973545</v>
      </c>
      <c r="AL126" s="317">
        <f t="shared" si="209"/>
        <v>16</v>
      </c>
      <c r="AM126" s="147">
        <f t="shared" si="210"/>
        <v>192.6637037037037</v>
      </c>
      <c r="AO126" s="147">
        <f t="shared" si="211"/>
        <v>16</v>
      </c>
      <c r="AP126" s="147">
        <f t="shared" si="212"/>
        <v>192.6637037037037</v>
      </c>
      <c r="AR126" s="5">
        <f t="shared" si="160"/>
        <v>5.1903912401574805</v>
      </c>
      <c r="AS126" s="5">
        <f t="shared" si="246"/>
        <v>3.4202391367745704</v>
      </c>
      <c r="AT126" s="5">
        <f t="shared" si="247"/>
        <v>1.7701521033829102</v>
      </c>
      <c r="AU126" s="153">
        <f t="shared" si="248"/>
        <v>0.65895593964334709</v>
      </c>
      <c r="AW126" s="5">
        <f t="shared" si="216"/>
        <v>0.2736191309419656</v>
      </c>
      <c r="AX126" s="5"/>
      <c r="AY126" s="5">
        <f t="shared" si="217"/>
        <v>0.34202391367745705</v>
      </c>
      <c r="AZ126" s="5"/>
      <c r="BA126" s="5">
        <f t="shared" si="218"/>
        <v>6.9931934948460645E-2</v>
      </c>
      <c r="BB126" s="5"/>
      <c r="BC126" s="5"/>
      <c r="BD126" s="153">
        <f t="shared" si="219"/>
        <v>9.6177898551078861E-2</v>
      </c>
      <c r="BE126" s="153">
        <f t="shared" si="220"/>
        <v>6.9191435406181112E-2</v>
      </c>
      <c r="BF126" s="153">
        <f t="shared" si="221"/>
        <v>6.8920096443803938E-2</v>
      </c>
      <c r="BG126" s="153"/>
      <c r="BH126" s="463">
        <f t="shared" si="222"/>
        <v>3.2375658593955655E-3</v>
      </c>
      <c r="BI126" s="463">
        <f t="shared" si="223"/>
        <v>5.79617644510288E-3</v>
      </c>
      <c r="BJ126" s="463">
        <f t="shared" si="224"/>
        <v>2.4082962962962964E-3</v>
      </c>
      <c r="BK126" s="463">
        <f t="shared" si="225"/>
        <v>8.2812870959407432E-3</v>
      </c>
      <c r="BL126">
        <f t="shared" si="226"/>
        <v>2.6099999999999999E-3</v>
      </c>
      <c r="BM126">
        <f t="shared" si="227"/>
        <v>1.9266370370370373E-6</v>
      </c>
      <c r="BN126">
        <f t="shared" si="228"/>
        <v>2.2785934467557892E-2</v>
      </c>
      <c r="BO126" s="147">
        <f t="shared" si="229"/>
        <v>22.333325696735486</v>
      </c>
      <c r="BP126" s="153">
        <f t="shared" si="230"/>
        <v>6.4000000000000003E-3</v>
      </c>
      <c r="BQ126" s="153">
        <f t="shared" si="231"/>
        <v>6.4000000000000003E-3</v>
      </c>
      <c r="BR126" s="463"/>
      <c r="BT126" s="147">
        <f t="shared" si="232"/>
        <v>12.8</v>
      </c>
      <c r="BU126" s="463">
        <f t="shared" si="233"/>
        <v>7.4001505357612941E-3</v>
      </c>
      <c r="BV126" s="463">
        <f t="shared" si="234"/>
        <v>3.8108139679199162E-3</v>
      </c>
      <c r="BW126" s="463">
        <f t="shared" si="235"/>
        <v>2.3749898469116183E-4</v>
      </c>
      <c r="BX126" s="463">
        <f t="shared" si="236"/>
        <v>0</v>
      </c>
      <c r="BY126" s="463">
        <f t="shared" si="180"/>
        <v>1.2834033504095472E-2</v>
      </c>
      <c r="BZ126" s="463">
        <f t="shared" si="166"/>
        <v>1.1448463488372371E-2</v>
      </c>
      <c r="CA126" s="549">
        <f t="shared" si="237"/>
        <v>1.2170449228562481E-2</v>
      </c>
      <c r="CB126" s="147">
        <f t="shared" si="238"/>
        <v>47.901409709402692</v>
      </c>
      <c r="CC126" s="153">
        <f t="shared" si="168"/>
        <v>6.0590417200215844E-2</v>
      </c>
      <c r="CD126" s="5">
        <f t="shared" si="239"/>
        <v>0.57600000000000007</v>
      </c>
      <c r="CE126" s="153">
        <f t="shared" si="240"/>
        <v>0.90482040639773031</v>
      </c>
      <c r="CF126" s="5">
        <f t="shared" si="241"/>
        <v>90.482040639773032</v>
      </c>
      <c r="CG126">
        <f t="shared" si="242"/>
        <v>16</v>
      </c>
      <c r="CI126" s="59">
        <f t="shared" si="243"/>
        <v>-50</v>
      </c>
      <c r="CJ126">
        <f t="shared" si="244"/>
        <v>-50</v>
      </c>
    </row>
    <row r="127" spans="5:88" x14ac:dyDescent="0.25">
      <c r="E127" s="150">
        <v>17</v>
      </c>
      <c r="F127" s="191">
        <f t="shared" si="245"/>
        <v>1.7000000000000001E-2</v>
      </c>
      <c r="G127" s="191">
        <f t="shared" si="183"/>
        <v>1.7000000000000001E-2</v>
      </c>
      <c r="H127" s="191">
        <f t="shared" si="184"/>
        <v>0.34</v>
      </c>
      <c r="I127" s="191">
        <f t="shared" si="185"/>
        <v>0.27200000000000002</v>
      </c>
      <c r="J127" s="472">
        <f t="shared" si="186"/>
        <v>9</v>
      </c>
      <c r="K127" s="386">
        <f t="shared" si="187"/>
        <v>20.32</v>
      </c>
      <c r="L127" s="386">
        <f t="shared" si="188"/>
        <v>29.32</v>
      </c>
      <c r="M127" s="386"/>
      <c r="N127" s="191">
        <f t="shared" si="189"/>
        <v>0.69304229195088674</v>
      </c>
      <c r="O127" s="152">
        <f t="shared" si="190"/>
        <v>1.1695088676671213</v>
      </c>
      <c r="P127" s="152">
        <f t="shared" si="191"/>
        <v>1.6840927694406547</v>
      </c>
      <c r="Q127" s="191">
        <f t="shared" si="192"/>
        <v>5.8475443383356064E-2</v>
      </c>
      <c r="R127" s="191">
        <f t="shared" si="193"/>
        <v>7.3094304229195078E-2</v>
      </c>
      <c r="S127" s="191">
        <f t="shared" si="194"/>
        <v>20</v>
      </c>
      <c r="T127" s="191">
        <f t="shared" si="195"/>
        <v>0.21804024496937888</v>
      </c>
      <c r="U127" s="191">
        <f t="shared" si="196"/>
        <v>3.6340040828229809</v>
      </c>
      <c r="V127" s="191">
        <f t="shared" si="197"/>
        <v>1.6095490524314384</v>
      </c>
      <c r="W127" s="175">
        <f t="shared" si="198"/>
        <v>277.21691678035478</v>
      </c>
      <c r="X127" s="386">
        <f t="shared" si="199"/>
        <v>190.71037790703718</v>
      </c>
      <c r="Z127" s="191">
        <f t="shared" si="200"/>
        <v>0.14999999999999997</v>
      </c>
      <c r="AA127" s="153">
        <f t="shared" si="201"/>
        <v>1.1072834645669287</v>
      </c>
      <c r="AB127" s="153">
        <f t="shared" si="202"/>
        <v>1.2789904502046381E-2</v>
      </c>
      <c r="AC127" s="153"/>
      <c r="AD127" s="153">
        <f t="shared" si="203"/>
        <v>1.1072834645669289</v>
      </c>
      <c r="AE127" s="317">
        <f t="shared" si="204"/>
        <v>204.70518518518523</v>
      </c>
      <c r="AF127" s="463">
        <f t="shared" si="205"/>
        <v>2.3021828103683497E-2</v>
      </c>
      <c r="AH127" s="153">
        <f t="shared" si="206"/>
        <v>0.15269016246728445</v>
      </c>
      <c r="AI127" s="153">
        <f t="shared" si="207"/>
        <v>0.21804024496937888</v>
      </c>
      <c r="AJ127" s="153">
        <f t="shared" si="208"/>
        <v>1.1169743915343915</v>
      </c>
      <c r="AL127" s="317">
        <f t="shared" si="209"/>
        <v>17</v>
      </c>
      <c r="AM127" s="147">
        <f t="shared" si="210"/>
        <v>204.70518518518523</v>
      </c>
      <c r="AO127" s="147">
        <f t="shared" si="211"/>
        <v>17</v>
      </c>
      <c r="AP127" s="147">
        <f t="shared" si="212"/>
        <v>204.70518518518523</v>
      </c>
      <c r="AR127" s="5">
        <f t="shared" si="160"/>
        <v>4.8850741083835105</v>
      </c>
      <c r="AS127" s="5">
        <f t="shared" si="246"/>
        <v>3.6340040828229809</v>
      </c>
      <c r="AT127" s="5">
        <f t="shared" si="247"/>
        <v>1.2510700255605296</v>
      </c>
      <c r="AU127" s="153">
        <f t="shared" si="248"/>
        <v>0.74389947873799744</v>
      </c>
      <c r="AW127" s="5">
        <f t="shared" si="216"/>
        <v>0.30889034703995338</v>
      </c>
      <c r="AX127" s="5"/>
      <c r="AY127" s="5">
        <f t="shared" si="217"/>
        <v>0.38611293379994177</v>
      </c>
      <c r="AZ127" s="5"/>
      <c r="BA127" s="5">
        <f t="shared" si="218"/>
        <v>5.2514050455627168E-2</v>
      </c>
      <c r="BB127" s="5"/>
      <c r="BC127" s="5"/>
      <c r="BD127" s="153">
        <f t="shared" si="219"/>
        <v>0.10857583078617888</v>
      </c>
      <c r="BE127" s="153">
        <f t="shared" si="220"/>
        <v>6.3706136108384132E-2</v>
      </c>
      <c r="BF127" s="153">
        <f t="shared" si="221"/>
        <v>6.3456308123645375E-2</v>
      </c>
      <c r="BG127" s="153"/>
      <c r="BH127" s="463">
        <f t="shared" si="222"/>
        <v>4.1260488608181323E-3</v>
      </c>
      <c r="BI127" s="463">
        <f t="shared" si="223"/>
        <v>6.5433398149794281E-3</v>
      </c>
      <c r="BJ127" s="463">
        <f t="shared" si="224"/>
        <v>2.5588148148148154E-3</v>
      </c>
      <c r="BK127" s="463">
        <f t="shared" si="225"/>
        <v>8.7988675394370403E-3</v>
      </c>
      <c r="BL127">
        <f t="shared" si="226"/>
        <v>2.6099999999999999E-3</v>
      </c>
      <c r="BM127">
        <f t="shared" si="227"/>
        <v>2.0470518518518523E-6</v>
      </c>
      <c r="BN127">
        <f t="shared" si="228"/>
        <v>2.5215329999739709E-2</v>
      </c>
      <c r="BO127" s="147">
        <f t="shared" si="229"/>
        <v>24.63707103004942</v>
      </c>
      <c r="BP127" s="153">
        <f t="shared" si="230"/>
        <v>6.8000000000000005E-3</v>
      </c>
      <c r="BQ127" s="153">
        <f t="shared" si="231"/>
        <v>6.8000000000000005E-3</v>
      </c>
      <c r="BR127" s="463"/>
      <c r="BT127" s="147">
        <f t="shared" si="232"/>
        <v>13.600000000000001</v>
      </c>
      <c r="BU127" s="463">
        <f t="shared" si="233"/>
        <v>9.4309688247271612E-3</v>
      </c>
      <c r="BV127" s="463">
        <f t="shared" si="234"/>
        <v>3.2305435351765318E-3</v>
      </c>
      <c r="BW127" s="463">
        <f t="shared" si="235"/>
        <v>2.0133515203415108E-4</v>
      </c>
      <c r="BX127" s="463">
        <f t="shared" si="236"/>
        <v>0</v>
      </c>
      <c r="BY127" s="463">
        <f t="shared" si="180"/>
        <v>1.4421229058996034E-2</v>
      </c>
      <c r="BZ127" s="463">
        <f t="shared" si="166"/>
        <v>1.2862847511937845E-2</v>
      </c>
      <c r="CA127" s="549">
        <f t="shared" si="237"/>
        <v>1.4598002211896362E-2</v>
      </c>
      <c r="CB127" s="147">
        <f t="shared" si="238"/>
        <v>54.744926294768085</v>
      </c>
      <c r="CC127" s="153">
        <f t="shared" si="168"/>
        <v>6.7834561270632102E-2</v>
      </c>
      <c r="CD127" s="5">
        <f t="shared" si="239"/>
        <v>0.6120000000000001</v>
      </c>
      <c r="CE127" s="153">
        <f t="shared" si="240"/>
        <v>0.90021901630913381</v>
      </c>
      <c r="CF127" s="5">
        <f t="shared" si="241"/>
        <v>90.021901630913376</v>
      </c>
      <c r="CG127">
        <f t="shared" si="242"/>
        <v>17</v>
      </c>
      <c r="CI127" s="59">
        <f t="shared" si="243"/>
        <v>-50</v>
      </c>
      <c r="CJ127">
        <f t="shared" si="244"/>
        <v>-50</v>
      </c>
    </row>
    <row r="128" spans="5:88" x14ac:dyDescent="0.25">
      <c r="E128" s="150">
        <v>18</v>
      </c>
      <c r="F128" s="191">
        <f t="shared" si="245"/>
        <v>1.7999999999999999E-2</v>
      </c>
      <c r="G128" s="191">
        <f t="shared" si="183"/>
        <v>1.7999999999999999E-2</v>
      </c>
      <c r="H128" s="191">
        <f t="shared" si="184"/>
        <v>0.36</v>
      </c>
      <c r="I128" s="191">
        <f t="shared" si="185"/>
        <v>0.28799999999999998</v>
      </c>
      <c r="J128" s="472">
        <f t="shared" si="186"/>
        <v>9</v>
      </c>
      <c r="K128" s="386">
        <f t="shared" si="187"/>
        <v>20.32</v>
      </c>
      <c r="L128" s="386">
        <f t="shared" si="188"/>
        <v>29.32</v>
      </c>
      <c r="M128" s="386"/>
      <c r="N128" s="191">
        <f t="shared" si="189"/>
        <v>0.69304229195088674</v>
      </c>
      <c r="O128" s="152">
        <f t="shared" si="190"/>
        <v>1.1695088676671213</v>
      </c>
      <c r="P128" s="152">
        <f t="shared" si="191"/>
        <v>1.6840927694406547</v>
      </c>
      <c r="Q128" s="191">
        <f t="shared" si="192"/>
        <v>5.8475443383356064E-2</v>
      </c>
      <c r="R128" s="191">
        <f t="shared" si="193"/>
        <v>7.3094304229195078E-2</v>
      </c>
      <c r="S128" s="191">
        <f t="shared" si="194"/>
        <v>20</v>
      </c>
      <c r="T128" s="191">
        <f t="shared" si="195"/>
        <v>0.23086614173228345</v>
      </c>
      <c r="U128" s="191">
        <f t="shared" si="196"/>
        <v>3.8477690288713906</v>
      </c>
      <c r="V128" s="191">
        <f t="shared" si="197"/>
        <v>1.7042284084568169</v>
      </c>
      <c r="W128" s="175">
        <f t="shared" si="198"/>
        <v>277.21691678035478</v>
      </c>
      <c r="X128" s="386">
        <f t="shared" si="199"/>
        <v>180.11535691220183</v>
      </c>
      <c r="Z128" s="191">
        <f t="shared" si="200"/>
        <v>0.14999999999999997</v>
      </c>
      <c r="AA128" s="153">
        <f t="shared" si="201"/>
        <v>1.1072834645669287</v>
      </c>
      <c r="AB128" s="153">
        <f t="shared" si="202"/>
        <v>1.2789904502046381E-2</v>
      </c>
      <c r="AC128" s="153"/>
      <c r="AD128" s="153">
        <f t="shared" si="203"/>
        <v>1.1072834645669289</v>
      </c>
      <c r="AE128" s="317">
        <f t="shared" si="204"/>
        <v>216.74666666666667</v>
      </c>
      <c r="AF128" s="463">
        <f t="shared" si="205"/>
        <v>2.3021828103683497E-2</v>
      </c>
      <c r="AH128" s="153">
        <f t="shared" si="206"/>
        <v>0.15711688096991452</v>
      </c>
      <c r="AI128" s="153">
        <f t="shared" si="207"/>
        <v>0.23086614173228345</v>
      </c>
      <c r="AJ128" s="153">
        <f t="shared" si="208"/>
        <v>1.123855238095238</v>
      </c>
      <c r="AL128" s="317">
        <f t="shared" si="209"/>
        <v>18</v>
      </c>
      <c r="AM128" s="147">
        <f t="shared" si="210"/>
        <v>216.74666666666667</v>
      </c>
      <c r="AO128" s="147">
        <f t="shared" si="211"/>
        <v>18</v>
      </c>
      <c r="AP128" s="147">
        <f t="shared" si="212"/>
        <v>216.74666666666667</v>
      </c>
      <c r="AR128" s="5">
        <f t="shared" si="160"/>
        <v>4.6136811023622046</v>
      </c>
      <c r="AS128" s="5">
        <f t="shared" si="246"/>
        <v>3.8477690288713906</v>
      </c>
      <c r="AT128" s="5">
        <f t="shared" si="247"/>
        <v>0.76591207349081403</v>
      </c>
      <c r="AU128" s="153">
        <f t="shared" si="248"/>
        <v>0.83399111111111102</v>
      </c>
      <c r="AW128" s="5">
        <f t="shared" si="216"/>
        <v>0.34629921259842511</v>
      </c>
      <c r="AX128" s="5"/>
      <c r="AY128" s="5">
        <f t="shared" si="217"/>
        <v>0.43287401574803136</v>
      </c>
      <c r="AZ128" s="5"/>
      <c r="BA128" s="5">
        <f t="shared" si="218"/>
        <v>3.4040536599591734E-2</v>
      </c>
      <c r="BB128" s="5"/>
      <c r="BC128" s="5"/>
      <c r="BD128" s="153">
        <f t="shared" si="219"/>
        <v>0.12172515285370915</v>
      </c>
      <c r="BE128" s="153">
        <f t="shared" si="220"/>
        <v>5.4308185038642265E-2</v>
      </c>
      <c r="BF128" s="153">
        <f t="shared" si="221"/>
        <v>5.4095211763980924E-2</v>
      </c>
      <c r="BG128" s="153"/>
      <c r="BH128" s="463">
        <f t="shared" si="222"/>
        <v>5.1859544930405992E-3</v>
      </c>
      <c r="BI128" s="463">
        <f t="shared" si="223"/>
        <v>7.335785813333333E-3</v>
      </c>
      <c r="BJ128" s="463">
        <f t="shared" si="224"/>
        <v>2.7093333333333336E-3</v>
      </c>
      <c r="BK128" s="463">
        <f t="shared" si="225"/>
        <v>9.3164479829333357E-3</v>
      </c>
      <c r="BL128">
        <f t="shared" si="226"/>
        <v>2.6099999999999999E-3</v>
      </c>
      <c r="BM128">
        <f t="shared" si="227"/>
        <v>2.1674666666666666E-6</v>
      </c>
      <c r="BN128">
        <f t="shared" si="228"/>
        <v>2.7886474965048591E-2</v>
      </c>
      <c r="BO128" s="147">
        <f t="shared" si="229"/>
        <v>27.157521622640601</v>
      </c>
      <c r="BP128" s="153">
        <f t="shared" si="230"/>
        <v>7.1999999999999998E-3</v>
      </c>
      <c r="BQ128" s="153">
        <f t="shared" si="231"/>
        <v>7.1999999999999998E-3</v>
      </c>
      <c r="BR128" s="463"/>
      <c r="BT128" s="147">
        <f t="shared" si="232"/>
        <v>14.4</v>
      </c>
      <c r="BU128" s="463">
        <f t="shared" si="233"/>
        <v>1.1853610269807087E-2</v>
      </c>
      <c r="BV128" s="463">
        <f t="shared" si="234"/>
        <v>2.3477056539043606E-3</v>
      </c>
      <c r="BW128" s="463">
        <f t="shared" si="235"/>
        <v>1.4631459678949701E-4</v>
      </c>
      <c r="BX128" s="463">
        <f t="shared" si="236"/>
        <v>0</v>
      </c>
      <c r="BY128" s="463">
        <f t="shared" si="180"/>
        <v>1.6087811941490643E-2</v>
      </c>
      <c r="BZ128" s="463">
        <f t="shared" si="166"/>
        <v>1.4347630520500945E-2</v>
      </c>
      <c r="CA128" s="549">
        <f t="shared" si="237"/>
        <v>1.7328627905511811E-2</v>
      </c>
      <c r="CB128" s="147">
        <f t="shared" si="238"/>
        <v>62.111700888004343</v>
      </c>
      <c r="CC128" s="153">
        <f t="shared" si="168"/>
        <v>7.5702914812051048E-2</v>
      </c>
      <c r="CD128" s="5">
        <f t="shared" si="239"/>
        <v>0.64799999999999991</v>
      </c>
      <c r="CE128" s="153">
        <f t="shared" si="240"/>
        <v>0.8953950395077358</v>
      </c>
      <c r="CF128" s="5">
        <f t="shared" si="241"/>
        <v>89.539503950773579</v>
      </c>
      <c r="CG128">
        <f t="shared" si="242"/>
        <v>17.999999999999996</v>
      </c>
      <c r="CI128" s="59">
        <f t="shared" si="243"/>
        <v>-50</v>
      </c>
      <c r="CJ128">
        <f t="shared" si="244"/>
        <v>-50</v>
      </c>
    </row>
    <row r="129" spans="5:88" x14ac:dyDescent="0.25">
      <c r="E129" s="150">
        <v>19</v>
      </c>
      <c r="F129" s="191">
        <f t="shared" si="245"/>
        <v>1.9000000000000003E-2</v>
      </c>
      <c r="G129" s="191">
        <f t="shared" si="183"/>
        <v>1.9000000000000003E-2</v>
      </c>
      <c r="H129" s="191">
        <f t="shared" si="184"/>
        <v>0.38000000000000006</v>
      </c>
      <c r="I129" s="191">
        <f t="shared" si="185"/>
        <v>0.30400000000000005</v>
      </c>
      <c r="J129" s="472">
        <f t="shared" si="186"/>
        <v>9</v>
      </c>
      <c r="K129" s="386">
        <f t="shared" si="187"/>
        <v>20.32</v>
      </c>
      <c r="L129" s="386">
        <f t="shared" si="188"/>
        <v>29.32</v>
      </c>
      <c r="M129" s="386"/>
      <c r="N129" s="191">
        <f t="shared" si="189"/>
        <v>0.69304229195088674</v>
      </c>
      <c r="O129" s="152">
        <f t="shared" si="190"/>
        <v>1.1695088676671213</v>
      </c>
      <c r="P129" s="152">
        <f t="shared" si="191"/>
        <v>1.6840927694406547</v>
      </c>
      <c r="Q129" s="191">
        <f t="shared" si="192"/>
        <v>5.8475443383356064E-2</v>
      </c>
      <c r="R129" s="191">
        <f t="shared" si="193"/>
        <v>7.3094304229195078E-2</v>
      </c>
      <c r="S129" s="191">
        <f t="shared" si="194"/>
        <v>20</v>
      </c>
      <c r="T129" s="191">
        <f t="shared" si="195"/>
        <v>0.24369203849518817</v>
      </c>
      <c r="U129" s="191">
        <f t="shared" si="196"/>
        <v>4.0615339749198025</v>
      </c>
      <c r="V129" s="191">
        <f t="shared" si="197"/>
        <v>1.7989077644821958</v>
      </c>
      <c r="W129" s="175">
        <f t="shared" si="198"/>
        <v>277.21691678035478</v>
      </c>
      <c r="X129" s="386">
        <f t="shared" si="199"/>
        <v>170.63560128524381</v>
      </c>
      <c r="Z129" s="191">
        <f t="shared" si="200"/>
        <v>0.14999999999999997</v>
      </c>
      <c r="AA129" s="153">
        <f t="shared" si="201"/>
        <v>1.1072834645669287</v>
      </c>
      <c r="AB129" s="153">
        <f t="shared" si="202"/>
        <v>1.2789904502046381E-2</v>
      </c>
      <c r="AC129" s="153"/>
      <c r="AD129" s="153">
        <f t="shared" si="203"/>
        <v>1.1072834645669289</v>
      </c>
      <c r="AE129" s="317">
        <f t="shared" si="204"/>
        <v>228.7881481481482</v>
      </c>
      <c r="AF129" s="463">
        <f t="shared" si="205"/>
        <v>2.3021828103683497E-2</v>
      </c>
      <c r="AH129" s="153">
        <f t="shared" si="206"/>
        <v>0.16142225019229184</v>
      </c>
      <c r="AI129" s="153">
        <f t="shared" si="207"/>
        <v>0.24369203849518817</v>
      </c>
      <c r="AJ129" s="153">
        <f t="shared" si="208"/>
        <v>1.1307360846560848</v>
      </c>
      <c r="AL129" s="317">
        <f t="shared" si="209"/>
        <v>19.000000000000004</v>
      </c>
      <c r="AM129" s="147">
        <f t="shared" si="210"/>
        <v>228.7881481481482</v>
      </c>
      <c r="AO129" s="147">
        <f t="shared" si="211"/>
        <v>19.000000000000004</v>
      </c>
      <c r="AP129" s="147">
        <f t="shared" si="212"/>
        <v>228.7881481481482</v>
      </c>
      <c r="AR129" s="5">
        <f t="shared" si="160"/>
        <v>4.370855781185246</v>
      </c>
      <c r="AS129" s="5">
        <f t="shared" si="246"/>
        <v>4.0615339749198025</v>
      </c>
      <c r="AT129" s="5">
        <f t="shared" si="247"/>
        <v>0.30932180626544348</v>
      </c>
      <c r="AU129" s="153">
        <f t="shared" si="248"/>
        <v>0.92923083676268892</v>
      </c>
      <c r="AW129" s="5">
        <f t="shared" si="216"/>
        <v>0.38584572761738128</v>
      </c>
      <c r="AX129" s="5"/>
      <c r="AY129" s="5">
        <f t="shared" si="217"/>
        <v>0.48230715952172665</v>
      </c>
      <c r="AZ129" s="5"/>
      <c r="BA129" s="5">
        <f t="shared" si="218"/>
        <v>1.451139338035414E-2</v>
      </c>
      <c r="BB129" s="5"/>
      <c r="BC129" s="5"/>
      <c r="BD129" s="153">
        <f t="shared" si="219"/>
        <v>0.13562586475366983</v>
      </c>
      <c r="BE129" s="153">
        <f t="shared" si="220"/>
        <v>3.742852769122347E-2</v>
      </c>
      <c r="BF129" s="153">
        <f t="shared" si="221"/>
        <v>3.7281749151257891E-2</v>
      </c>
      <c r="BG129" s="153"/>
      <c r="BH129" s="463">
        <f t="shared" si="222"/>
        <v>6.4380313165632586E-3</v>
      </c>
      <c r="BI129" s="463">
        <f t="shared" si="223"/>
        <v>8.1735144401646129E-3</v>
      </c>
      <c r="BJ129" s="463">
        <f t="shared" si="224"/>
        <v>2.8598518518518526E-3</v>
      </c>
      <c r="BK129" s="463">
        <f t="shared" si="225"/>
        <v>9.8340284264296328E-3</v>
      </c>
      <c r="BL129">
        <f t="shared" si="226"/>
        <v>2.6099999999999999E-3</v>
      </c>
      <c r="BM129">
        <f t="shared" si="227"/>
        <v>2.2878814814814821E-6</v>
      </c>
      <c r="BN129">
        <f t="shared" si="228"/>
        <v>3.0823460768080329E-2</v>
      </c>
      <c r="BO129" s="147">
        <f t="shared" si="229"/>
        <v>29.915426035009357</v>
      </c>
      <c r="BP129" s="153">
        <f t="shared" si="230"/>
        <v>7.6000000000000017E-3</v>
      </c>
      <c r="BQ129" s="153">
        <f t="shared" si="231"/>
        <v>7.6000000000000017E-3</v>
      </c>
      <c r="BR129" s="463"/>
      <c r="BT129" s="147">
        <f t="shared" si="232"/>
        <v>15.200000000000003</v>
      </c>
      <c r="BU129" s="463">
        <f t="shared" si="233"/>
        <v>1.4715500152144593E-2</v>
      </c>
      <c r="BV129" s="463">
        <f t="shared" si="234"/>
        <v>1.115112169365615E-3</v>
      </c>
      <c r="BW129" s="463">
        <f t="shared" si="235"/>
        <v>6.9496440988865921E-5</v>
      </c>
      <c r="BX129" s="463">
        <f t="shared" si="236"/>
        <v>0</v>
      </c>
      <c r="BY129" s="463">
        <f t="shared" si="180"/>
        <v>1.783080275024309E-2</v>
      </c>
      <c r="BZ129" s="463">
        <f t="shared" si="166"/>
        <v>1.5900108762499074E-2</v>
      </c>
      <c r="CA129" s="549">
        <f t="shared" si="237"/>
        <v>2.0380154115896019E-2</v>
      </c>
      <c r="CB129" s="147">
        <f t="shared" si="238"/>
        <v>70.01117439113726</v>
      </c>
      <c r="CC129" s="153">
        <f t="shared" si="168"/>
        <v>8.4234417634219433E-2</v>
      </c>
      <c r="CD129" s="5">
        <f t="shared" si="239"/>
        <v>0.68400000000000016</v>
      </c>
      <c r="CE129" s="153">
        <f t="shared" si="240"/>
        <v>0.8903532363290626</v>
      </c>
      <c r="CF129" s="5">
        <f t="shared" si="241"/>
        <v>89.035323632906255</v>
      </c>
      <c r="CG129">
        <f t="shared" si="242"/>
        <v>19.000000000000004</v>
      </c>
      <c r="CI129" s="59">
        <f t="shared" si="243"/>
        <v>-50</v>
      </c>
      <c r="CJ129">
        <f t="shared" si="244"/>
        <v>-50</v>
      </c>
    </row>
    <row r="130" spans="5:88" x14ac:dyDescent="0.25">
      <c r="E130" s="150">
        <v>20</v>
      </c>
      <c r="F130" s="191">
        <f t="shared" si="245"/>
        <v>2.0000000000000004E-2</v>
      </c>
      <c r="G130" s="191">
        <f t="shared" si="183"/>
        <v>2.0000000000000004E-2</v>
      </c>
      <c r="H130" s="191">
        <f t="shared" si="184"/>
        <v>0.40000000000000008</v>
      </c>
      <c r="I130" s="191">
        <f t="shared" si="185"/>
        <v>0.32000000000000006</v>
      </c>
      <c r="J130" s="472">
        <f t="shared" si="186"/>
        <v>9</v>
      </c>
      <c r="K130" s="386">
        <f t="shared" si="187"/>
        <v>20.32</v>
      </c>
      <c r="L130" s="386">
        <f t="shared" si="188"/>
        <v>29.32</v>
      </c>
      <c r="M130" s="386"/>
      <c r="N130" s="191">
        <f t="shared" si="189"/>
        <v>0.69304229195088674</v>
      </c>
      <c r="O130" s="152">
        <f t="shared" si="190"/>
        <v>1.1695088676671213</v>
      </c>
      <c r="P130" s="152">
        <f t="shared" si="191"/>
        <v>1.6840927694406547</v>
      </c>
      <c r="Q130" s="191">
        <f t="shared" si="192"/>
        <v>5.8475443383356064E-2</v>
      </c>
      <c r="R130" s="191">
        <f t="shared" si="193"/>
        <v>7.3094304229195078E-2</v>
      </c>
      <c r="S130" s="191">
        <f t="shared" si="194"/>
        <v>20</v>
      </c>
      <c r="T130" s="191">
        <f t="shared" si="195"/>
        <v>0.25651793525809286</v>
      </c>
      <c r="U130" s="191">
        <f t="shared" si="196"/>
        <v>4.275298920968214</v>
      </c>
      <c r="V130" s="191">
        <f t="shared" si="197"/>
        <v>1.8935871205075749</v>
      </c>
      <c r="W130" s="175">
        <f t="shared" si="198"/>
        <v>277.21691678035478</v>
      </c>
      <c r="X130" s="386">
        <f t="shared" si="199"/>
        <v>162.10382122098159</v>
      </c>
      <c r="Z130" s="191">
        <f t="shared" si="200"/>
        <v>0.14999999999999997</v>
      </c>
      <c r="AA130" s="153">
        <f t="shared" si="201"/>
        <v>1.1072834645669287</v>
      </c>
      <c r="AB130" s="153">
        <f t="shared" si="202"/>
        <v>1.2789904502046381E-2</v>
      </c>
      <c r="AC130" s="153"/>
      <c r="AD130" s="153">
        <f t="shared" si="203"/>
        <v>1.1072834645669289</v>
      </c>
      <c r="AE130" s="317">
        <f t="shared" si="204"/>
        <v>240.82962962962969</v>
      </c>
      <c r="AF130" s="463">
        <f t="shared" si="205"/>
        <v>2.3021828103683497E-2</v>
      </c>
      <c r="AH130" s="153">
        <f t="shared" si="206"/>
        <v>0.16561573424216505</v>
      </c>
      <c r="AI130" s="153">
        <f t="shared" si="207"/>
        <v>0.25651793525809286</v>
      </c>
      <c r="AJ130" s="153">
        <f t="shared" si="208"/>
        <v>1.1376169312169313</v>
      </c>
      <c r="AL130" s="317">
        <f t="shared" si="209"/>
        <v>20.000000000000004</v>
      </c>
      <c r="AM130" s="147">
        <f t="shared" si="210"/>
        <v>240.82962962962969</v>
      </c>
      <c r="AO130" s="147">
        <f t="shared" si="211"/>
        <v>20.000000000000004</v>
      </c>
      <c r="AP130" s="147">
        <f t="shared" si="212"/>
        <v>240.82962962962969</v>
      </c>
      <c r="AR130" s="5">
        <f t="shared" si="160"/>
        <v>4.1523129921259834</v>
      </c>
      <c r="AS130" s="5">
        <f t="shared" si="246"/>
        <v>4.275298920968214</v>
      </c>
      <c r="AT130" s="5">
        <f t="shared" si="247"/>
        <v>-0.12298592884223059</v>
      </c>
      <c r="AU130" s="153">
        <f t="shared" si="248"/>
        <v>1.0296186556927305</v>
      </c>
      <c r="AW130" s="5">
        <f t="shared" si="216"/>
        <v>0.42752989209682146</v>
      </c>
      <c r="AX130" s="5"/>
      <c r="AY130" s="5">
        <f t="shared" si="217"/>
        <v>0.53441236512102674</v>
      </c>
      <c r="AZ130" s="5"/>
      <c r="BA130" s="5">
        <f t="shared" si="218"/>
        <v>-6.0733792020854624E-3</v>
      </c>
      <c r="BB130" s="5"/>
      <c r="BC130" s="5"/>
      <c r="BD130" s="153">
        <f t="shared" si="219"/>
        <v>0.15027796648606082</v>
      </c>
      <c r="BE130" s="153" t="e">
        <f t="shared" si="220"/>
        <v>#NUM!</v>
      </c>
      <c r="BF130" s="153" t="e">
        <f t="shared" si="221"/>
        <v>#NUM!</v>
      </c>
      <c r="BG130" s="153"/>
      <c r="BH130" s="463">
        <f t="shared" si="222"/>
        <v>7.9042135239149654E-3</v>
      </c>
      <c r="BI130" s="463">
        <f t="shared" si="223"/>
        <v>9.0565256954732581E-3</v>
      </c>
      <c r="BJ130" s="463">
        <f t="shared" si="224"/>
        <v>3.0103703703703712E-3</v>
      </c>
      <c r="BK130" s="463">
        <f t="shared" si="225"/>
        <v>1.035160886992593E-2</v>
      </c>
      <c r="BL130">
        <f t="shared" si="226"/>
        <v>2.6099999999999999E-3</v>
      </c>
      <c r="BM130">
        <f t="shared" si="227"/>
        <v>2.4082962962962968E-6</v>
      </c>
      <c r="BN130">
        <f t="shared" si="228"/>
        <v>3.4051854333740306E-2</v>
      </c>
      <c r="BO130" s="147">
        <f t="shared" si="229"/>
        <v>32.932718459684523</v>
      </c>
      <c r="BP130" s="153">
        <f t="shared" si="230"/>
        <v>8.0000000000000019E-3</v>
      </c>
      <c r="BQ130" s="153">
        <f t="shared" si="231"/>
        <v>8.0000000000000019E-3</v>
      </c>
      <c r="BR130" s="463"/>
      <c r="BT130" s="147">
        <f t="shared" si="232"/>
        <v>16.000000000000004</v>
      </c>
      <c r="BU130" s="463">
        <f t="shared" si="233"/>
        <v>1.8066773768948493E-2</v>
      </c>
      <c r="BV130" s="463" t="e">
        <f t="shared" si="234"/>
        <v>#NUM!</v>
      </c>
      <c r="BW130" s="463" t="e">
        <f t="shared" si="235"/>
        <v>#NUM!</v>
      </c>
      <c r="BX130" s="463">
        <f t="shared" si="236"/>
        <v>0</v>
      </c>
      <c r="BY130" s="463" t="e">
        <f t="shared" si="180"/>
        <v>#NUM!</v>
      </c>
      <c r="BZ130" s="463" t="e">
        <f t="shared" si="166"/>
        <v>#NUM!</v>
      </c>
      <c r="CA130" s="549">
        <f t="shared" si="237"/>
        <v>2.3770408649536119E-2</v>
      </c>
      <c r="CB130" s="147" t="e">
        <f t="shared" si="238"/>
        <v>#NUM!</v>
      </c>
      <c r="CC130" s="153" t="e">
        <f t="shared" si="168"/>
        <v>#NUM!</v>
      </c>
      <c r="CD130" s="5">
        <f t="shared" si="239"/>
        <v>0.7200000000000002</v>
      </c>
      <c r="CE130" s="153" t="e">
        <f t="shared" si="240"/>
        <v>#NUM!</v>
      </c>
      <c r="CF130" s="5" t="e">
        <f t="shared" si="241"/>
        <v>#NUM!</v>
      </c>
      <c r="CG130">
        <f t="shared" si="242"/>
        <v>20.000000000000004</v>
      </c>
      <c r="CI130" s="59">
        <f t="shared" si="243"/>
        <v>-50</v>
      </c>
      <c r="CJ130">
        <f t="shared" si="244"/>
        <v>-50</v>
      </c>
    </row>
    <row r="131" spans="5:88" x14ac:dyDescent="0.25">
      <c r="E131" s="150">
        <v>21</v>
      </c>
      <c r="F131" s="191">
        <f t="shared" si="245"/>
        <v>2.1000000000000001E-2</v>
      </c>
      <c r="G131" s="191">
        <f t="shared" si="183"/>
        <v>2.1000000000000001E-2</v>
      </c>
      <c r="H131" s="191">
        <f t="shared" si="184"/>
        <v>0.42000000000000004</v>
      </c>
      <c r="I131" s="191">
        <f t="shared" si="185"/>
        <v>0.33600000000000002</v>
      </c>
      <c r="J131" s="472">
        <f t="shared" si="186"/>
        <v>9</v>
      </c>
      <c r="K131" s="386">
        <f t="shared" si="187"/>
        <v>20.32</v>
      </c>
      <c r="L131" s="386">
        <f t="shared" si="188"/>
        <v>29.32</v>
      </c>
      <c r="M131" s="386"/>
      <c r="N131" s="191">
        <f t="shared" si="189"/>
        <v>0.69304229195088674</v>
      </c>
      <c r="O131" s="152">
        <f t="shared" si="190"/>
        <v>1.1695088676671213</v>
      </c>
      <c r="P131" s="152">
        <f t="shared" si="191"/>
        <v>1.6840927694406547</v>
      </c>
      <c r="Q131" s="191">
        <f t="shared" si="192"/>
        <v>5.8475443383356064E-2</v>
      </c>
      <c r="R131" s="191">
        <f t="shared" si="193"/>
        <v>7.3094304229195078E-2</v>
      </c>
      <c r="S131" s="191">
        <f t="shared" si="194"/>
        <v>20</v>
      </c>
      <c r="T131" s="191">
        <f t="shared" si="195"/>
        <v>0.26934383202099738</v>
      </c>
      <c r="U131" s="191">
        <f t="shared" si="196"/>
        <v>4.4890638670166227</v>
      </c>
      <c r="V131" s="191">
        <f t="shared" si="197"/>
        <v>1.9882664765329532</v>
      </c>
      <c r="W131" s="175">
        <f t="shared" si="198"/>
        <v>277.21691678035478</v>
      </c>
      <c r="X131" s="386">
        <f t="shared" si="199"/>
        <v>154.38459163903013</v>
      </c>
      <c r="Z131" s="191">
        <f t="shared" si="200"/>
        <v>0.14999999999999997</v>
      </c>
      <c r="AA131" s="153">
        <f t="shared" si="201"/>
        <v>1.1072834645669287</v>
      </c>
      <c r="AB131" s="153">
        <f t="shared" si="202"/>
        <v>1.2789904502046381E-2</v>
      </c>
      <c r="AC131" s="153"/>
      <c r="AD131" s="153">
        <f t="shared" si="203"/>
        <v>1.1072834645669289</v>
      </c>
      <c r="AE131" s="317">
        <f t="shared" si="204"/>
        <v>252.87111111111116</v>
      </c>
      <c r="AF131" s="463">
        <f t="shared" si="205"/>
        <v>2.3021828103683497E-2</v>
      </c>
      <c r="AH131" s="153">
        <f t="shared" si="206"/>
        <v>0.16970562748477142</v>
      </c>
      <c r="AI131" s="153">
        <f t="shared" si="207"/>
        <v>0.26934383202099738</v>
      </c>
      <c r="AJ131" s="153">
        <f t="shared" si="208"/>
        <v>1.1444977777777778</v>
      </c>
      <c r="AL131" s="317">
        <f t="shared" si="209"/>
        <v>21</v>
      </c>
      <c r="AM131" s="147">
        <f t="shared" si="210"/>
        <v>252.87111111111116</v>
      </c>
      <c r="AO131" s="147">
        <f t="shared" si="211"/>
        <v>21</v>
      </c>
      <c r="AP131" s="147">
        <f t="shared" si="212"/>
        <v>252.87111111111116</v>
      </c>
      <c r="AR131" s="5">
        <f t="shared" si="160"/>
        <v>3.9545838020247461</v>
      </c>
      <c r="AS131" s="5">
        <f t="shared" si="246"/>
        <v>4.4890638670166227</v>
      </c>
      <c r="AT131" s="5">
        <f t="shared" si="247"/>
        <v>-0.53448006499187661</v>
      </c>
      <c r="AU131" s="153">
        <f t="shared" si="248"/>
        <v>1.1351545679012347</v>
      </c>
      <c r="AW131" s="5">
        <f t="shared" si="216"/>
        <v>0.47135170603674548</v>
      </c>
      <c r="AX131" s="5"/>
      <c r="AY131" s="5">
        <f t="shared" si="217"/>
        <v>0.58918963254593182</v>
      </c>
      <c r="AZ131" s="5"/>
      <c r="BA131" s="5">
        <f t="shared" si="218"/>
        <v>-2.7713781147726935E-2</v>
      </c>
      <c r="BB131" s="5"/>
      <c r="BC131" s="5"/>
      <c r="BD131" s="153">
        <f t="shared" si="219"/>
        <v>0.16568145805088191</v>
      </c>
      <c r="BE131" s="153" t="e">
        <f t="shared" si="220"/>
        <v>#NUM!</v>
      </c>
      <c r="BF131" s="153" t="e">
        <f t="shared" si="221"/>
        <v>#NUM!</v>
      </c>
      <c r="BG131" s="153"/>
      <c r="BH131" s="463">
        <f t="shared" si="222"/>
        <v>9.6076209396531494E-3</v>
      </c>
      <c r="BI131" s="463">
        <f t="shared" si="223"/>
        <v>9.9848195792592628E-3</v>
      </c>
      <c r="BJ131" s="463">
        <f t="shared" si="224"/>
        <v>3.1608888888888897E-3</v>
      </c>
      <c r="BK131" s="463">
        <f t="shared" si="225"/>
        <v>1.0869189313422227E-2</v>
      </c>
      <c r="BL131">
        <f t="shared" si="226"/>
        <v>2.6099999999999999E-3</v>
      </c>
      <c r="BM131">
        <f t="shared" si="227"/>
        <v>2.5287111111111119E-6</v>
      </c>
      <c r="BN131">
        <f t="shared" si="228"/>
        <v>3.7598723985298982E-2</v>
      </c>
      <c r="BO131" s="147">
        <f t="shared" si="229"/>
        <v>36.232518721223528</v>
      </c>
      <c r="BP131" s="153">
        <f t="shared" si="230"/>
        <v>8.4000000000000012E-3</v>
      </c>
      <c r="BQ131" s="153">
        <f t="shared" si="231"/>
        <v>8.4000000000000012E-3</v>
      </c>
      <c r="BR131" s="463"/>
      <c r="BT131" s="147">
        <f t="shared" si="232"/>
        <v>16.8</v>
      </c>
      <c r="BU131" s="463">
        <f t="shared" si="233"/>
        <v>2.1960276433492916E-2</v>
      </c>
      <c r="BV131" s="463" t="e">
        <f t="shared" si="234"/>
        <v>#NUM!</v>
      </c>
      <c r="BW131" s="463" t="e">
        <f t="shared" si="235"/>
        <v>#NUM!</v>
      </c>
      <c r="BX131" s="463">
        <f t="shared" si="236"/>
        <v>0</v>
      </c>
      <c r="BY131" s="463" t="e">
        <f t="shared" si="180"/>
        <v>#NUM!</v>
      </c>
      <c r="BZ131" s="463" t="e">
        <f t="shared" si="166"/>
        <v>#NUM!</v>
      </c>
      <c r="CA131" s="549">
        <f t="shared" si="237"/>
        <v>2.7517219312919228E-2</v>
      </c>
      <c r="CB131" s="147" t="e">
        <f t="shared" si="238"/>
        <v>#NUM!</v>
      </c>
      <c r="CC131" s="153" t="e">
        <f t="shared" si="168"/>
        <v>#NUM!</v>
      </c>
      <c r="CD131" s="5">
        <f t="shared" si="239"/>
        <v>0.75600000000000001</v>
      </c>
      <c r="CE131" s="153" t="e">
        <f t="shared" si="240"/>
        <v>#NUM!</v>
      </c>
      <c r="CF131" s="5" t="e">
        <f t="shared" si="241"/>
        <v>#NUM!</v>
      </c>
      <c r="CG131">
        <f t="shared" si="242"/>
        <v>21</v>
      </c>
      <c r="CI131" s="59">
        <f t="shared" si="243"/>
        <v>-50</v>
      </c>
      <c r="CJ131">
        <f t="shared" si="244"/>
        <v>-50</v>
      </c>
    </row>
    <row r="132" spans="5:88" x14ac:dyDescent="0.25">
      <c r="E132" s="150">
        <v>22</v>
      </c>
      <c r="F132" s="191">
        <f t="shared" si="245"/>
        <v>2.2000000000000002E-2</v>
      </c>
      <c r="G132" s="191">
        <f t="shared" si="183"/>
        <v>2.2000000000000002E-2</v>
      </c>
      <c r="H132" s="191">
        <f t="shared" si="184"/>
        <v>0.44000000000000006</v>
      </c>
      <c r="I132" s="191">
        <f t="shared" si="185"/>
        <v>0.35200000000000004</v>
      </c>
      <c r="J132" s="472">
        <f t="shared" si="186"/>
        <v>9</v>
      </c>
      <c r="K132" s="386">
        <f t="shared" si="187"/>
        <v>20.32</v>
      </c>
      <c r="L132" s="386">
        <f t="shared" si="188"/>
        <v>29.32</v>
      </c>
      <c r="M132" s="386"/>
      <c r="N132" s="191">
        <f t="shared" si="189"/>
        <v>0.69304229195088674</v>
      </c>
      <c r="O132" s="152">
        <f t="shared" si="190"/>
        <v>1.1695088676671213</v>
      </c>
      <c r="P132" s="152">
        <f t="shared" si="191"/>
        <v>1.6840927694406547</v>
      </c>
      <c r="Q132" s="191">
        <f t="shared" si="192"/>
        <v>5.8475443383356064E-2</v>
      </c>
      <c r="R132" s="191">
        <f t="shared" si="193"/>
        <v>7.3094304229195078E-2</v>
      </c>
      <c r="S132" s="191">
        <f t="shared" si="194"/>
        <v>20</v>
      </c>
      <c r="T132" s="191">
        <f t="shared" si="195"/>
        <v>0.28216972878390206</v>
      </c>
      <c r="U132" s="191">
        <f t="shared" si="196"/>
        <v>4.7028288130650342</v>
      </c>
      <c r="V132" s="191">
        <f t="shared" si="197"/>
        <v>2.0829458325583321</v>
      </c>
      <c r="W132" s="175">
        <f t="shared" si="198"/>
        <v>277.21691678035478</v>
      </c>
      <c r="X132" s="386">
        <f t="shared" si="199"/>
        <v>147.36711020089237</v>
      </c>
      <c r="Z132" s="191">
        <f t="shared" si="200"/>
        <v>0.14999999999999997</v>
      </c>
      <c r="AA132" s="153">
        <f t="shared" si="201"/>
        <v>1.1072834645669287</v>
      </c>
      <c r="AB132" s="153">
        <f t="shared" si="202"/>
        <v>1.2789904502046381E-2</v>
      </c>
      <c r="AC132" s="153"/>
      <c r="AD132" s="153">
        <f t="shared" si="203"/>
        <v>1.1072834645669289</v>
      </c>
      <c r="AE132" s="317">
        <f t="shared" si="204"/>
        <v>264.91259259259266</v>
      </c>
      <c r="AF132" s="463">
        <f t="shared" si="205"/>
        <v>2.3021828103683497E-2</v>
      </c>
      <c r="AH132" s="153">
        <f t="shared" si="206"/>
        <v>0.17369924746937904</v>
      </c>
      <c r="AI132" s="153">
        <f t="shared" si="207"/>
        <v>0.28216972878390206</v>
      </c>
      <c r="AJ132" s="153">
        <f t="shared" si="208"/>
        <v>1.1513786243386244</v>
      </c>
      <c r="AL132" s="317">
        <f t="shared" si="209"/>
        <v>22.000000000000004</v>
      </c>
      <c r="AM132" s="147">
        <f t="shared" si="210"/>
        <v>264.91259259259266</v>
      </c>
      <c r="AO132" s="147">
        <f t="shared" si="211"/>
        <v>22.000000000000004</v>
      </c>
      <c r="AP132" s="147">
        <f t="shared" si="212"/>
        <v>264.91259259259266</v>
      </c>
      <c r="AR132" s="5">
        <f t="shared" si="160"/>
        <v>3.774829992841803</v>
      </c>
      <c r="AS132" s="5">
        <f t="shared" si="246"/>
        <v>4.7028288130650342</v>
      </c>
      <c r="AT132" s="5">
        <f t="shared" si="247"/>
        <v>-0.92799882022323121</v>
      </c>
      <c r="AU132" s="153">
        <f t="shared" si="248"/>
        <v>1.2458385733882036</v>
      </c>
      <c r="AW132" s="5">
        <f t="shared" si="216"/>
        <v>0.51731116943715383</v>
      </c>
      <c r="AX132" s="5"/>
      <c r="AY132" s="5">
        <f t="shared" si="217"/>
        <v>0.64663896179644231</v>
      </c>
      <c r="AZ132" s="5"/>
      <c r="BA132" s="5">
        <f t="shared" si="218"/>
        <v>-5.0409812456570592E-2</v>
      </c>
      <c r="BB132" s="5"/>
      <c r="BC132" s="5"/>
      <c r="BD132" s="153">
        <f t="shared" si="219"/>
        <v>0.18183633944813352</v>
      </c>
      <c r="BE132" s="153" t="e">
        <f t="shared" si="220"/>
        <v>#NUM!</v>
      </c>
      <c r="BF132" s="153" t="e">
        <f t="shared" si="221"/>
        <v>#NUM!</v>
      </c>
      <c r="BG132" s="153"/>
      <c r="BH132" s="463">
        <f t="shared" si="222"/>
        <v>1.1572559020363891E-2</v>
      </c>
      <c r="BI132" s="463">
        <f t="shared" si="223"/>
        <v>1.0958396091522641E-2</v>
      </c>
      <c r="BJ132" s="463">
        <f t="shared" si="224"/>
        <v>3.3114074074074079E-3</v>
      </c>
      <c r="BK132" s="463">
        <f t="shared" si="225"/>
        <v>1.1386769756918522E-2</v>
      </c>
      <c r="BL132">
        <f t="shared" si="226"/>
        <v>2.6099999999999999E-3</v>
      </c>
      <c r="BM132">
        <f t="shared" si="227"/>
        <v>2.6491259259259265E-6</v>
      </c>
      <c r="BN132">
        <f t="shared" si="228"/>
        <v>4.1492669409350341E-2</v>
      </c>
      <c r="BO132" s="147">
        <f t="shared" si="229"/>
        <v>39.839132276212467</v>
      </c>
      <c r="BP132" s="153">
        <f t="shared" si="230"/>
        <v>8.8000000000000005E-3</v>
      </c>
      <c r="BQ132" s="153">
        <f t="shared" si="231"/>
        <v>8.8000000000000005E-3</v>
      </c>
      <c r="BR132" s="463"/>
      <c r="BT132" s="147">
        <f t="shared" si="232"/>
        <v>17.600000000000001</v>
      </c>
      <c r="BU132" s="463">
        <f t="shared" si="233"/>
        <v>2.6451563475117471E-2</v>
      </c>
      <c r="BV132" s="463" t="e">
        <f t="shared" si="234"/>
        <v>#NUM!</v>
      </c>
      <c r="BW132" s="463" t="e">
        <f t="shared" si="235"/>
        <v>#NUM!</v>
      </c>
      <c r="BX132" s="463">
        <f t="shared" si="236"/>
        <v>0</v>
      </c>
      <c r="BY132" s="463" t="e">
        <f t="shared" si="180"/>
        <v>#NUM!</v>
      </c>
      <c r="BZ132" s="463" t="e">
        <f t="shared" si="166"/>
        <v>#NUM!</v>
      </c>
      <c r="CA132" s="549">
        <f t="shared" si="237"/>
        <v>3.1638413912532554E-2</v>
      </c>
      <c r="CB132" s="147" t="e">
        <f t="shared" si="238"/>
        <v>#NUM!</v>
      </c>
      <c r="CC132" s="153" t="e">
        <f t="shared" si="168"/>
        <v>#NUM!</v>
      </c>
      <c r="CD132" s="5">
        <f t="shared" si="239"/>
        <v>0.79200000000000004</v>
      </c>
      <c r="CE132" s="153" t="e">
        <f t="shared" si="240"/>
        <v>#NUM!</v>
      </c>
      <c r="CF132" s="5" t="e">
        <f t="shared" si="241"/>
        <v>#NUM!</v>
      </c>
      <c r="CG132">
        <f t="shared" si="242"/>
        <v>22</v>
      </c>
      <c r="CI132" s="59">
        <f t="shared" si="243"/>
        <v>-50</v>
      </c>
      <c r="CJ132">
        <f t="shared" si="244"/>
        <v>-50</v>
      </c>
    </row>
    <row r="133" spans="5:88" x14ac:dyDescent="0.25">
      <c r="E133" s="150">
        <v>23</v>
      </c>
      <c r="F133" s="191">
        <f t="shared" si="245"/>
        <v>2.3000000000000003E-2</v>
      </c>
      <c r="G133" s="191">
        <f t="shared" si="183"/>
        <v>2.3000000000000003E-2</v>
      </c>
      <c r="H133" s="191">
        <f t="shared" si="184"/>
        <v>0.46000000000000008</v>
      </c>
      <c r="I133" s="191">
        <f t="shared" si="185"/>
        <v>0.36800000000000005</v>
      </c>
      <c r="J133" s="472">
        <f t="shared" si="186"/>
        <v>9</v>
      </c>
      <c r="K133" s="386">
        <f t="shared" si="187"/>
        <v>20.32</v>
      </c>
      <c r="L133" s="386">
        <f t="shared" si="188"/>
        <v>29.32</v>
      </c>
      <c r="M133" s="386"/>
      <c r="N133" s="191">
        <f t="shared" si="189"/>
        <v>0.69304229195088674</v>
      </c>
      <c r="O133" s="152">
        <f t="shared" si="190"/>
        <v>1.1695088676671213</v>
      </c>
      <c r="P133" s="152">
        <f t="shared" si="191"/>
        <v>1.6840927694406547</v>
      </c>
      <c r="Q133" s="191">
        <f t="shared" si="192"/>
        <v>5.8475443383356064E-2</v>
      </c>
      <c r="R133" s="191">
        <f t="shared" si="193"/>
        <v>7.3094304229195078E-2</v>
      </c>
      <c r="S133" s="191">
        <f t="shared" si="194"/>
        <v>20</v>
      </c>
      <c r="T133" s="191">
        <f t="shared" si="195"/>
        <v>0.29499562554680669</v>
      </c>
      <c r="U133" s="191">
        <f t="shared" si="196"/>
        <v>4.9165937591134456</v>
      </c>
      <c r="V133" s="191">
        <f t="shared" si="197"/>
        <v>2.1776251885837108</v>
      </c>
      <c r="W133" s="175">
        <f t="shared" si="198"/>
        <v>277.21691678035478</v>
      </c>
      <c r="X133" s="386">
        <f t="shared" si="199"/>
        <v>140.959844539984</v>
      </c>
      <c r="Z133" s="191">
        <f t="shared" si="200"/>
        <v>0.14999999999999997</v>
      </c>
      <c r="AA133" s="153">
        <f t="shared" si="201"/>
        <v>1.1072834645669287</v>
      </c>
      <c r="AB133" s="153">
        <f t="shared" si="202"/>
        <v>1.2789904502046381E-2</v>
      </c>
      <c r="AC133" s="153"/>
      <c r="AD133" s="153">
        <f t="shared" si="203"/>
        <v>1.1072834645669289</v>
      </c>
      <c r="AE133" s="317">
        <f t="shared" si="204"/>
        <v>276.95407407407419</v>
      </c>
      <c r="AF133" s="463">
        <f t="shared" si="205"/>
        <v>2.3021828103683497E-2</v>
      </c>
      <c r="AH133" s="153">
        <f t="shared" si="206"/>
        <v>0.17760308877622921</v>
      </c>
      <c r="AI133" s="153">
        <f t="shared" si="207"/>
        <v>0.29499562554680669</v>
      </c>
      <c r="AJ133" s="153">
        <f t="shared" si="208"/>
        <v>1.1582594708994709</v>
      </c>
      <c r="AL133" s="317">
        <f t="shared" si="209"/>
        <v>23.000000000000004</v>
      </c>
      <c r="AM133" s="147">
        <f t="shared" si="210"/>
        <v>276.95407407407419</v>
      </c>
      <c r="AO133" s="147">
        <f t="shared" si="211"/>
        <v>23.000000000000004</v>
      </c>
      <c r="AP133" s="147">
        <f t="shared" si="212"/>
        <v>276.95407407407419</v>
      </c>
      <c r="AR133" s="5">
        <f t="shared" si="160"/>
        <v>3.6107069496747677</v>
      </c>
      <c r="AS133" s="5">
        <f t="shared" si="246"/>
        <v>4.9165937591134456</v>
      </c>
      <c r="AT133" s="5">
        <f t="shared" si="247"/>
        <v>-1.305886809438678</v>
      </c>
      <c r="AU133" s="153">
        <f t="shared" si="248"/>
        <v>1.361670672153636</v>
      </c>
      <c r="AW133" s="5">
        <f t="shared" si="216"/>
        <v>0.56540828229804641</v>
      </c>
      <c r="AX133" s="5"/>
      <c r="AY133" s="5">
        <f t="shared" si="217"/>
        <v>0.70676035287255801</v>
      </c>
      <c r="AZ133" s="5"/>
      <c r="BA133" s="5">
        <f t="shared" si="218"/>
        <v>-7.416147312861629E-2</v>
      </c>
      <c r="BB133" s="5"/>
      <c r="BC133" s="5"/>
      <c r="BD133" s="153">
        <f t="shared" si="219"/>
        <v>0.19874261067781537</v>
      </c>
      <c r="BE133" s="153" t="e">
        <f t="shared" si="220"/>
        <v>#NUM!</v>
      </c>
      <c r="BF133" s="153" t="e">
        <f t="shared" si="221"/>
        <v>#NUM!</v>
      </c>
      <c r="BG133" s="153"/>
      <c r="BH133" s="463">
        <f t="shared" si="222"/>
        <v>1.3824518854661792E-2</v>
      </c>
      <c r="BI133" s="463">
        <f t="shared" si="223"/>
        <v>1.197725523226338E-2</v>
      </c>
      <c r="BJ133" s="463">
        <f t="shared" si="224"/>
        <v>3.4619259259259269E-3</v>
      </c>
      <c r="BK133" s="463">
        <f t="shared" si="225"/>
        <v>1.1904350200414821E-2</v>
      </c>
      <c r="BL133">
        <f t="shared" si="226"/>
        <v>2.6099999999999999E-3</v>
      </c>
      <c r="BM133">
        <f t="shared" si="227"/>
        <v>2.7695407407407421E-6</v>
      </c>
      <c r="BN133">
        <f t="shared" si="228"/>
        <v>4.5763856176866853E-2</v>
      </c>
      <c r="BO133" s="147">
        <f t="shared" si="229"/>
        <v>43.778050213265921</v>
      </c>
      <c r="BP133" s="153">
        <f t="shared" si="230"/>
        <v>9.2000000000000016E-3</v>
      </c>
      <c r="BQ133" s="153">
        <f t="shared" si="231"/>
        <v>9.2000000000000016E-3</v>
      </c>
      <c r="BR133" s="463"/>
      <c r="BT133" s="147">
        <f t="shared" si="232"/>
        <v>18.400000000000002</v>
      </c>
      <c r="BU133" s="463">
        <f t="shared" si="233"/>
        <v>3.1598900239226957E-2</v>
      </c>
      <c r="BV133" s="463" t="e">
        <f t="shared" si="234"/>
        <v>#NUM!</v>
      </c>
      <c r="BW133" s="463" t="e">
        <f t="shared" si="235"/>
        <v>#NUM!</v>
      </c>
      <c r="BX133" s="463">
        <f t="shared" si="236"/>
        <v>0</v>
      </c>
      <c r="BY133" s="463" t="e">
        <f t="shared" si="180"/>
        <v>#NUM!</v>
      </c>
      <c r="BZ133" s="463" t="e">
        <f t="shared" si="166"/>
        <v>#NUM!</v>
      </c>
      <c r="CA133" s="549">
        <f t="shared" si="237"/>
        <v>3.6151820254863229E-2</v>
      </c>
      <c r="CB133" s="147" t="e">
        <f t="shared" si="238"/>
        <v>#NUM!</v>
      </c>
      <c r="CC133" s="153" t="e">
        <f t="shared" si="168"/>
        <v>#NUM!</v>
      </c>
      <c r="CD133" s="5">
        <f t="shared" si="239"/>
        <v>0.82800000000000007</v>
      </c>
      <c r="CE133" s="153" t="e">
        <f t="shared" si="240"/>
        <v>#NUM!</v>
      </c>
      <c r="CF133" s="5" t="e">
        <f t="shared" si="241"/>
        <v>#NUM!</v>
      </c>
      <c r="CG133">
        <f t="shared" si="242"/>
        <v>23</v>
      </c>
      <c r="CI133" s="59">
        <f t="shared" si="243"/>
        <v>-50</v>
      </c>
      <c r="CJ133">
        <f t="shared" si="244"/>
        <v>-50</v>
      </c>
    </row>
    <row r="134" spans="5:88" x14ac:dyDescent="0.25">
      <c r="E134" s="150">
        <v>24</v>
      </c>
      <c r="F134" s="191">
        <f t="shared" si="245"/>
        <v>2.4E-2</v>
      </c>
      <c r="G134" s="191">
        <f t="shared" si="183"/>
        <v>2.4E-2</v>
      </c>
      <c r="H134" s="191">
        <f t="shared" si="184"/>
        <v>0.48</v>
      </c>
      <c r="I134" s="191">
        <f t="shared" si="185"/>
        <v>0.38400000000000001</v>
      </c>
      <c r="J134" s="472">
        <f t="shared" si="186"/>
        <v>9</v>
      </c>
      <c r="K134" s="386">
        <f t="shared" si="187"/>
        <v>20.32</v>
      </c>
      <c r="L134" s="386">
        <f t="shared" si="188"/>
        <v>29.32</v>
      </c>
      <c r="M134" s="386"/>
      <c r="N134" s="191">
        <f t="shared" si="189"/>
        <v>0.69304229195088674</v>
      </c>
      <c r="O134" s="152">
        <f t="shared" si="190"/>
        <v>1.1695088676671213</v>
      </c>
      <c r="P134" s="152">
        <f t="shared" si="191"/>
        <v>1.6840927694406547</v>
      </c>
      <c r="Q134" s="191">
        <f t="shared" si="192"/>
        <v>5.8475443383356064E-2</v>
      </c>
      <c r="R134" s="191">
        <f t="shared" si="193"/>
        <v>7.3094304229195078E-2</v>
      </c>
      <c r="S134" s="191">
        <f t="shared" si="194"/>
        <v>20</v>
      </c>
      <c r="T134" s="191">
        <f t="shared" si="195"/>
        <v>0.30782152230971133</v>
      </c>
      <c r="U134" s="191">
        <f t="shared" si="196"/>
        <v>5.1303587051618553</v>
      </c>
      <c r="V134" s="191">
        <f t="shared" si="197"/>
        <v>2.2723045446090895</v>
      </c>
      <c r="W134" s="175">
        <f t="shared" si="198"/>
        <v>277.21691678035478</v>
      </c>
      <c r="X134" s="386">
        <f t="shared" si="199"/>
        <v>135.08651768415135</v>
      </c>
      <c r="Z134" s="191">
        <f t="shared" si="200"/>
        <v>0.14999999999999997</v>
      </c>
      <c r="AA134" s="153">
        <f t="shared" si="201"/>
        <v>1.1072834645669287</v>
      </c>
      <c r="AB134" s="153">
        <f t="shared" si="202"/>
        <v>1.2789904502046381E-2</v>
      </c>
      <c r="AC134" s="153"/>
      <c r="AD134" s="153">
        <f t="shared" si="203"/>
        <v>1.1072834645669289</v>
      </c>
      <c r="AE134" s="317">
        <f t="shared" si="204"/>
        <v>288.99555555555554</v>
      </c>
      <c r="AF134" s="463">
        <f t="shared" si="205"/>
        <v>2.3021828103683497E-2</v>
      </c>
      <c r="AH134" s="153">
        <f t="shared" si="206"/>
        <v>0.18142294704442907</v>
      </c>
      <c r="AI134" s="153">
        <f t="shared" si="207"/>
        <v>0.30782152230971133</v>
      </c>
      <c r="AJ134" s="153">
        <f t="shared" si="208"/>
        <v>1.3169048313405269</v>
      </c>
      <c r="AL134" s="317">
        <f t="shared" si="209"/>
        <v>24</v>
      </c>
      <c r="AM134" s="147">
        <f t="shared" si="210"/>
        <v>135.08651768415135</v>
      </c>
      <c r="AO134" s="147">
        <f t="shared" si="211"/>
        <v>24</v>
      </c>
      <c r="AP134" s="147">
        <f t="shared" si="212"/>
        <v>135.08651768415135</v>
      </c>
      <c r="AR134" s="5">
        <f t="shared" ref="AR134:AR197" si="249">1/AM134*1000</f>
        <v>7.4026632497709448</v>
      </c>
      <c r="AS134" s="5">
        <f t="shared" si="246"/>
        <v>5.1303587051618553</v>
      </c>
      <c r="AT134" s="5">
        <f t="shared" si="247"/>
        <v>2.2723045446090895</v>
      </c>
      <c r="AU134" s="153">
        <f t="shared" si="248"/>
        <v>0.69304229195088674</v>
      </c>
      <c r="AW134" s="5">
        <f t="shared" si="216"/>
        <v>0.61564304461942265</v>
      </c>
      <c r="AX134" s="5"/>
      <c r="AY134" s="5">
        <f t="shared" si="217"/>
        <v>0.76955380577427834</v>
      </c>
      <c r="AZ134" s="5"/>
      <c r="BA134" s="5">
        <f t="shared" si="218"/>
        <v>0.13465508412498309</v>
      </c>
      <c r="BB134" s="5"/>
      <c r="BC134" s="5"/>
      <c r="BD134" s="153">
        <f t="shared" si="219"/>
        <v>0.14795110839516293</v>
      </c>
      <c r="BE134" s="153">
        <f t="shared" si="220"/>
        <v>9.8464034332332667E-2</v>
      </c>
      <c r="BF134" s="153">
        <f t="shared" si="221"/>
        <v>9.8077900864362744E-2</v>
      </c>
      <c r="BG134" s="153"/>
      <c r="BH134" s="463">
        <f t="shared" si="222"/>
        <v>7.6613356663750376E-3</v>
      </c>
      <c r="BI134" s="463">
        <f t="shared" si="223"/>
        <v>6.0959999999999999E-3</v>
      </c>
      <c r="BJ134" s="463">
        <f t="shared" si="224"/>
        <v>1.6885814710518919E-3</v>
      </c>
      <c r="BK134" s="463">
        <f t="shared" si="225"/>
        <v>5.8064400000000004E-3</v>
      </c>
      <c r="BL134">
        <f t="shared" si="226"/>
        <v>2.6099999999999999E-3</v>
      </c>
      <c r="BM134">
        <f t="shared" si="227"/>
        <v>1.3508651768415134E-6</v>
      </c>
      <c r="BN134">
        <f t="shared" si="228"/>
        <v>2.4933231850449135E-2</v>
      </c>
      <c r="BO134" s="147">
        <f t="shared" si="229"/>
        <v>23.862357137426933</v>
      </c>
      <c r="BP134" s="153">
        <f t="shared" si="230"/>
        <v>9.6000000000000009E-3</v>
      </c>
      <c r="BQ134" s="153">
        <f t="shared" si="231"/>
        <v>9.6000000000000009E-3</v>
      </c>
      <c r="BR134" s="463"/>
      <c r="BT134" s="147">
        <f t="shared" si="232"/>
        <v>19.200000000000003</v>
      </c>
      <c r="BU134" s="463">
        <f t="shared" si="233"/>
        <v>1.7511624380285803E-2</v>
      </c>
      <c r="BV134" s="463">
        <f t="shared" si="234"/>
        <v>7.7173521813710339E-3</v>
      </c>
      <c r="BW134" s="463">
        <f t="shared" si="235"/>
        <v>4.8096373189798828E-4</v>
      </c>
      <c r="BX134" s="463">
        <f t="shared" si="236"/>
        <v>0</v>
      </c>
      <c r="BY134" s="463">
        <f t="shared" si="180"/>
        <v>2.8854480887246414E-2</v>
      </c>
      <c r="BZ134" s="463">
        <f t="shared" ref="BZ134:BZ197" si="250">SUM(BU134:BX134)</f>
        <v>2.5709940293554823E-2</v>
      </c>
      <c r="CA134" s="549">
        <f t="shared" si="237"/>
        <v>1.9200000000000002E-2</v>
      </c>
      <c r="CB134" s="147">
        <f t="shared" si="238"/>
        <v>99.474361474356073</v>
      </c>
      <c r="CC134" s="153">
        <f t="shared" ref="CC134:CC197" si="251">SUM(BN134,BP134:BS134,BY134, CA134)</f>
        <v>9.2187712737695549E-2</v>
      </c>
      <c r="CD134" s="5">
        <f t="shared" si="239"/>
        <v>0.86399999999999999</v>
      </c>
      <c r="CE134" s="153">
        <f t="shared" si="240"/>
        <v>0.90358826879949172</v>
      </c>
      <c r="CF134" s="5">
        <f t="shared" si="241"/>
        <v>90.358826879949177</v>
      </c>
      <c r="CG134">
        <f t="shared" si="242"/>
        <v>24</v>
      </c>
      <c r="CI134" s="59">
        <f t="shared" si="243"/>
        <v>-50</v>
      </c>
      <c r="CJ134">
        <f t="shared" si="244"/>
        <v>-50</v>
      </c>
    </row>
    <row r="135" spans="5:88" x14ac:dyDescent="0.25">
      <c r="E135" s="150">
        <v>25</v>
      </c>
      <c r="F135" s="191">
        <f t="shared" si="245"/>
        <v>2.5000000000000001E-2</v>
      </c>
      <c r="G135" s="191">
        <f t="shared" si="183"/>
        <v>2.5000000000000001E-2</v>
      </c>
      <c r="H135" s="191">
        <f t="shared" si="184"/>
        <v>0.5</v>
      </c>
      <c r="I135" s="191">
        <f t="shared" si="185"/>
        <v>0.4</v>
      </c>
      <c r="J135" s="472">
        <f t="shared" si="186"/>
        <v>9</v>
      </c>
      <c r="K135" s="386">
        <f t="shared" si="187"/>
        <v>20.32</v>
      </c>
      <c r="L135" s="386">
        <f t="shared" si="188"/>
        <v>29.32</v>
      </c>
      <c r="M135" s="386"/>
      <c r="N135" s="191">
        <f t="shared" si="189"/>
        <v>0.69304229195088674</v>
      </c>
      <c r="O135" s="152">
        <f t="shared" si="190"/>
        <v>1.1695088676671213</v>
      </c>
      <c r="P135" s="152">
        <f t="shared" si="191"/>
        <v>1.6840927694406547</v>
      </c>
      <c r="Q135" s="191">
        <f t="shared" si="192"/>
        <v>5.8475443383356064E-2</v>
      </c>
      <c r="R135" s="191">
        <f t="shared" si="193"/>
        <v>7.3094304229195078E-2</v>
      </c>
      <c r="S135" s="191">
        <f t="shared" si="194"/>
        <v>20</v>
      </c>
      <c r="T135" s="191">
        <f t="shared" si="195"/>
        <v>0.32064741907261596</v>
      </c>
      <c r="U135" s="191">
        <f t="shared" si="196"/>
        <v>5.3441236512102659</v>
      </c>
      <c r="V135" s="191">
        <f t="shared" si="197"/>
        <v>2.3669839006344677</v>
      </c>
      <c r="W135" s="175">
        <f t="shared" si="198"/>
        <v>277.21691678035478</v>
      </c>
      <c r="X135" s="386">
        <f t="shared" si="199"/>
        <v>129.68305697678531</v>
      </c>
      <c r="Z135" s="191">
        <f t="shared" si="200"/>
        <v>0.14999999999999997</v>
      </c>
      <c r="AA135" s="153">
        <f t="shared" si="201"/>
        <v>1.1072834645669287</v>
      </c>
      <c r="AB135" s="153">
        <f t="shared" si="202"/>
        <v>1.2789904502046381E-2</v>
      </c>
      <c r="AC135" s="153"/>
      <c r="AD135" s="153">
        <f t="shared" si="203"/>
        <v>1.1072834645669289</v>
      </c>
      <c r="AE135" s="317">
        <f t="shared" si="204"/>
        <v>301.03703703703707</v>
      </c>
      <c r="AF135" s="463">
        <f t="shared" si="205"/>
        <v>2.3021828103683497E-2</v>
      </c>
      <c r="AH135" s="153">
        <f t="shared" si="206"/>
        <v>0.18516401995451032</v>
      </c>
      <c r="AI135" s="153">
        <f t="shared" si="207"/>
        <v>0.32064741907261596</v>
      </c>
      <c r="AJ135" s="153">
        <f t="shared" si="208"/>
        <v>1.3264054956093452</v>
      </c>
      <c r="AL135" s="317">
        <f t="shared" si="209"/>
        <v>25</v>
      </c>
      <c r="AM135" s="147">
        <f t="shared" si="210"/>
        <v>129.68305697678531</v>
      </c>
      <c r="AO135" s="147">
        <f t="shared" si="211"/>
        <v>25</v>
      </c>
      <c r="AP135" s="147">
        <f t="shared" si="212"/>
        <v>129.68305697678531</v>
      </c>
      <c r="AR135" s="5">
        <f t="shared" si="249"/>
        <v>7.7111075518447327</v>
      </c>
      <c r="AS135" s="5">
        <f t="shared" si="246"/>
        <v>5.3441236512102659</v>
      </c>
      <c r="AT135" s="5">
        <f t="shared" si="247"/>
        <v>2.3669839006344668</v>
      </c>
      <c r="AU135" s="153">
        <f t="shared" si="248"/>
        <v>0.69304229195088685</v>
      </c>
      <c r="AW135" s="5">
        <f t="shared" si="216"/>
        <v>0.66801545640128335</v>
      </c>
      <c r="AX135" s="5"/>
      <c r="AY135" s="5">
        <f t="shared" si="217"/>
        <v>0.8350193205016041</v>
      </c>
      <c r="AZ135" s="5"/>
      <c r="BA135" s="5">
        <f t="shared" si="218"/>
        <v>0.14611011732311524</v>
      </c>
      <c r="BB135" s="5"/>
      <c r="BC135" s="5"/>
      <c r="BD135" s="153">
        <f t="shared" si="219"/>
        <v>0.15411573791162805</v>
      </c>
      <c r="BE135" s="153">
        <f t="shared" si="220"/>
        <v>0.10256670242951317</v>
      </c>
      <c r="BF135" s="153">
        <f t="shared" si="221"/>
        <v>0.10216448006704451</v>
      </c>
      <c r="BG135" s="153"/>
      <c r="BH135" s="463">
        <f t="shared" si="222"/>
        <v>8.3130812352159699E-3</v>
      </c>
      <c r="BI135" s="463">
        <f t="shared" si="223"/>
        <v>6.0960000000000016E-3</v>
      </c>
      <c r="BJ135" s="463">
        <f t="shared" si="224"/>
        <v>1.6210382122098163E-3</v>
      </c>
      <c r="BK135" s="463">
        <f t="shared" si="225"/>
        <v>5.5741824000000014E-3</v>
      </c>
      <c r="BL135">
        <f t="shared" si="226"/>
        <v>2.6099999999999999E-3</v>
      </c>
      <c r="BM135">
        <f t="shared" si="227"/>
        <v>1.2968305697678532E-6</v>
      </c>
      <c r="BN135">
        <f t="shared" si="228"/>
        <v>2.5376786633528381E-2</v>
      </c>
      <c r="BO135" s="147">
        <f t="shared" si="229"/>
        <v>24.214301847425794</v>
      </c>
      <c r="BP135" s="153">
        <f t="shared" si="230"/>
        <v>1.0000000000000002E-2</v>
      </c>
      <c r="BQ135" s="153">
        <f t="shared" si="231"/>
        <v>1.0000000000000002E-2</v>
      </c>
      <c r="BR135" s="463"/>
      <c r="BT135" s="147">
        <f t="shared" si="232"/>
        <v>20.000000000000004</v>
      </c>
      <c r="BU135" s="463">
        <f t="shared" si="233"/>
        <v>1.9001328537636503E-2</v>
      </c>
      <c r="BV135" s="463">
        <f t="shared" si="234"/>
        <v>8.3738630440223852E-3</v>
      </c>
      <c r="BW135" s="463">
        <f t="shared" si="235"/>
        <v>5.218790493684768E-4</v>
      </c>
      <c r="BX135" s="463">
        <f t="shared" si="236"/>
        <v>0</v>
      </c>
      <c r="BY135" s="463">
        <f t="shared" si="180"/>
        <v>3.1314605968710003E-2</v>
      </c>
      <c r="BZ135" s="463">
        <f t="shared" si="250"/>
        <v>2.7897070631027365E-2</v>
      </c>
      <c r="CA135" s="549">
        <f t="shared" si="237"/>
        <v>2.0000000000000004E-2</v>
      </c>
      <c r="CB135" s="147">
        <f t="shared" si="238"/>
        <v>107.10874723076473</v>
      </c>
      <c r="CC135" s="153">
        <f t="shared" si="251"/>
        <v>9.6691392602238399E-2</v>
      </c>
      <c r="CD135" s="5">
        <f t="shared" si="239"/>
        <v>0.9</v>
      </c>
      <c r="CE135" s="153">
        <f t="shared" si="240"/>
        <v>0.90298763155785955</v>
      </c>
      <c r="CF135" s="5">
        <f t="shared" si="241"/>
        <v>90.298763155785949</v>
      </c>
      <c r="CG135">
        <f t="shared" si="242"/>
        <v>25</v>
      </c>
      <c r="CI135" s="59">
        <f t="shared" si="243"/>
        <v>-50</v>
      </c>
      <c r="CJ135">
        <f t="shared" si="244"/>
        <v>-50</v>
      </c>
    </row>
    <row r="136" spans="5:88" x14ac:dyDescent="0.25">
      <c r="E136" s="150">
        <v>26</v>
      </c>
      <c r="F136" s="191">
        <f t="shared" si="245"/>
        <v>2.6000000000000002E-2</v>
      </c>
      <c r="G136" s="191">
        <f t="shared" si="183"/>
        <v>2.6000000000000002E-2</v>
      </c>
      <c r="H136" s="191">
        <f t="shared" si="184"/>
        <v>0.52</v>
      </c>
      <c r="I136" s="191">
        <f t="shared" si="185"/>
        <v>0.41600000000000004</v>
      </c>
      <c r="J136" s="472">
        <f t="shared" si="186"/>
        <v>9</v>
      </c>
      <c r="K136" s="386">
        <f t="shared" si="187"/>
        <v>20.32</v>
      </c>
      <c r="L136" s="386">
        <f t="shared" si="188"/>
        <v>29.32</v>
      </c>
      <c r="M136" s="386"/>
      <c r="N136" s="191">
        <f t="shared" si="189"/>
        <v>0.69304229195088674</v>
      </c>
      <c r="O136" s="152">
        <f t="shared" si="190"/>
        <v>1.1695088676671213</v>
      </c>
      <c r="P136" s="152">
        <f t="shared" si="191"/>
        <v>1.6840927694406547</v>
      </c>
      <c r="Q136" s="191">
        <f t="shared" si="192"/>
        <v>5.8475443383356064E-2</v>
      </c>
      <c r="R136" s="191">
        <f t="shared" si="193"/>
        <v>7.3094304229195078E-2</v>
      </c>
      <c r="S136" s="191">
        <f t="shared" si="194"/>
        <v>20</v>
      </c>
      <c r="T136" s="191">
        <f t="shared" si="195"/>
        <v>0.33347331583552059</v>
      </c>
      <c r="U136" s="191">
        <f t="shared" si="196"/>
        <v>5.5578885972586765</v>
      </c>
      <c r="V136" s="191">
        <f t="shared" si="197"/>
        <v>2.4616632566598464</v>
      </c>
      <c r="W136" s="175">
        <f t="shared" si="198"/>
        <v>277.21691678035478</v>
      </c>
      <c r="X136" s="386">
        <f t="shared" si="199"/>
        <v>124.69524709306279</v>
      </c>
      <c r="Z136" s="191">
        <f t="shared" si="200"/>
        <v>0.14999999999999997</v>
      </c>
      <c r="AA136" s="153">
        <f t="shared" si="201"/>
        <v>1.1072834645669287</v>
      </c>
      <c r="AB136" s="153">
        <f t="shared" si="202"/>
        <v>1.2789904502046381E-2</v>
      </c>
      <c r="AC136" s="153"/>
      <c r="AD136" s="153">
        <f t="shared" si="203"/>
        <v>1.1072834645669289</v>
      </c>
      <c r="AE136" s="317">
        <f t="shared" si="204"/>
        <v>313.07851851851854</v>
      </c>
      <c r="AF136" s="463">
        <f t="shared" si="205"/>
        <v>2.3021828103683497E-2</v>
      </c>
      <c r="AH136" s="153">
        <f t="shared" si="206"/>
        <v>0.18883099019266639</v>
      </c>
      <c r="AI136" s="153">
        <f t="shared" si="207"/>
        <v>0.33347331583552059</v>
      </c>
      <c r="AJ136" s="153">
        <f t="shared" si="208"/>
        <v>1.3359061598781634</v>
      </c>
      <c r="AL136" s="317">
        <f t="shared" si="209"/>
        <v>26.000000000000004</v>
      </c>
      <c r="AM136" s="147">
        <f t="shared" si="210"/>
        <v>124.69524709306279</v>
      </c>
      <c r="AO136" s="147">
        <f t="shared" si="211"/>
        <v>26.000000000000004</v>
      </c>
      <c r="AP136" s="147">
        <f t="shared" si="212"/>
        <v>124.69524709306279</v>
      </c>
      <c r="AR136" s="5">
        <f t="shared" si="249"/>
        <v>8.0195518539185233</v>
      </c>
      <c r="AS136" s="5">
        <f t="shared" si="246"/>
        <v>5.5578885972586765</v>
      </c>
      <c r="AT136" s="5">
        <f t="shared" si="247"/>
        <v>2.4616632566598469</v>
      </c>
      <c r="AU136" s="153">
        <f t="shared" si="248"/>
        <v>0.69304229195088674</v>
      </c>
      <c r="AW136" s="5">
        <f t="shared" si="216"/>
        <v>0.72252551764362793</v>
      </c>
      <c r="AX136" s="5"/>
      <c r="AY136" s="5">
        <f t="shared" si="217"/>
        <v>0.90315689705453495</v>
      </c>
      <c r="AZ136" s="5"/>
      <c r="BA136" s="5">
        <f t="shared" si="218"/>
        <v>0.15803270289668153</v>
      </c>
      <c r="BB136" s="5"/>
      <c r="BC136" s="5"/>
      <c r="BD136" s="153">
        <f t="shared" si="219"/>
        <v>0.16028036742809318</v>
      </c>
      <c r="BE136" s="153">
        <f t="shared" si="220"/>
        <v>0.10666937052669372</v>
      </c>
      <c r="BF136" s="153">
        <f t="shared" si="221"/>
        <v>0.10625105926972629</v>
      </c>
      <c r="BG136" s="153"/>
      <c r="BH136" s="463">
        <f t="shared" si="222"/>
        <v>8.9914286640095931E-3</v>
      </c>
      <c r="BI136" s="463">
        <f t="shared" si="223"/>
        <v>6.0959999999999999E-3</v>
      </c>
      <c r="BJ136" s="463">
        <f t="shared" si="224"/>
        <v>1.5586905886632847E-3</v>
      </c>
      <c r="BK136" s="463">
        <f t="shared" si="225"/>
        <v>5.3597907692307699E-3</v>
      </c>
      <c r="BL136">
        <f t="shared" si="226"/>
        <v>2.6099999999999999E-3</v>
      </c>
      <c r="BM136">
        <f t="shared" si="227"/>
        <v>1.2469524709306279E-6</v>
      </c>
      <c r="BN136">
        <f t="shared" si="228"/>
        <v>2.5873922575133421E-2</v>
      </c>
      <c r="BO136" s="147">
        <f t="shared" si="229"/>
        <v>24.615910021903652</v>
      </c>
      <c r="BP136" s="153">
        <f t="shared" si="230"/>
        <v>1.0400000000000001E-2</v>
      </c>
      <c r="BQ136" s="153">
        <f t="shared" si="231"/>
        <v>1.0400000000000001E-2</v>
      </c>
      <c r="BR136" s="463"/>
      <c r="BT136" s="147">
        <f t="shared" si="232"/>
        <v>20.800000000000004</v>
      </c>
      <c r="BU136" s="463">
        <f t="shared" si="233"/>
        <v>2.0551836946307644E-2</v>
      </c>
      <c r="BV136" s="463">
        <f t="shared" si="234"/>
        <v>9.057170268414615E-3</v>
      </c>
      <c r="BW136" s="463">
        <f t="shared" si="235"/>
        <v>5.6446437979694442E-4</v>
      </c>
      <c r="BX136" s="463">
        <f t="shared" si="236"/>
        <v>0</v>
      </c>
      <c r="BY136" s="463">
        <f t="shared" si="180"/>
        <v>3.3876060854656088E-2</v>
      </c>
      <c r="BZ136" s="463">
        <f t="shared" si="250"/>
        <v>3.0173471594519205E-2</v>
      </c>
      <c r="CA136" s="549">
        <f t="shared" si="237"/>
        <v>2.0800000000000003E-2</v>
      </c>
      <c r="CB136" s="147">
        <f t="shared" si="238"/>
        <v>115.0230040436945</v>
      </c>
      <c r="CC136" s="153">
        <f t="shared" si="251"/>
        <v>0.1013499834297895</v>
      </c>
      <c r="CD136" s="5">
        <f t="shared" si="239"/>
        <v>0.93600000000000005</v>
      </c>
      <c r="CE136" s="153">
        <f t="shared" si="240"/>
        <v>0.90229914199767369</v>
      </c>
      <c r="CF136" s="5">
        <f t="shared" si="241"/>
        <v>90.229914199767364</v>
      </c>
      <c r="CG136">
        <f t="shared" si="242"/>
        <v>26</v>
      </c>
      <c r="CI136" s="59">
        <f t="shared" si="243"/>
        <v>-50</v>
      </c>
      <c r="CJ136">
        <f t="shared" si="244"/>
        <v>-50</v>
      </c>
    </row>
    <row r="137" spans="5:88" x14ac:dyDescent="0.25">
      <c r="E137" s="150">
        <v>27</v>
      </c>
      <c r="F137" s="191">
        <f t="shared" si="245"/>
        <v>2.7000000000000003E-2</v>
      </c>
      <c r="G137" s="191">
        <f t="shared" si="183"/>
        <v>2.7000000000000003E-2</v>
      </c>
      <c r="H137" s="191">
        <f t="shared" si="184"/>
        <v>0.54</v>
      </c>
      <c r="I137" s="191">
        <f t="shared" si="185"/>
        <v>0.43200000000000005</v>
      </c>
      <c r="J137" s="472">
        <f t="shared" si="186"/>
        <v>9</v>
      </c>
      <c r="K137" s="386">
        <f t="shared" si="187"/>
        <v>20.32</v>
      </c>
      <c r="L137" s="386">
        <f t="shared" si="188"/>
        <v>29.32</v>
      </c>
      <c r="M137" s="386"/>
      <c r="N137" s="191">
        <f t="shared" si="189"/>
        <v>0.69304229195088674</v>
      </c>
      <c r="O137" s="152">
        <f t="shared" si="190"/>
        <v>1.1695088676671213</v>
      </c>
      <c r="P137" s="152">
        <f t="shared" si="191"/>
        <v>1.6840927694406547</v>
      </c>
      <c r="Q137" s="191">
        <f t="shared" si="192"/>
        <v>5.8475443383356064E-2</v>
      </c>
      <c r="R137" s="191">
        <f t="shared" si="193"/>
        <v>7.3094304229195078E-2</v>
      </c>
      <c r="S137" s="191">
        <f t="shared" si="194"/>
        <v>20</v>
      </c>
      <c r="T137" s="191">
        <f t="shared" si="195"/>
        <v>0.34629921259842528</v>
      </c>
      <c r="U137" s="191">
        <f t="shared" si="196"/>
        <v>5.771653543307087</v>
      </c>
      <c r="V137" s="191">
        <f t="shared" si="197"/>
        <v>2.5563426126852256</v>
      </c>
      <c r="W137" s="175">
        <f t="shared" si="198"/>
        <v>277.21691678035478</v>
      </c>
      <c r="X137" s="386">
        <f t="shared" si="199"/>
        <v>120.07690460813453</v>
      </c>
      <c r="Z137" s="191">
        <f t="shared" si="200"/>
        <v>0.14999999999999997</v>
      </c>
      <c r="AA137" s="153">
        <f t="shared" si="201"/>
        <v>1.1072834645669287</v>
      </c>
      <c r="AB137" s="153">
        <f t="shared" si="202"/>
        <v>1.2789904502046381E-2</v>
      </c>
      <c r="AC137" s="153"/>
      <c r="AD137" s="153">
        <f t="shared" si="203"/>
        <v>1.1072834645669289</v>
      </c>
      <c r="AE137" s="317">
        <f t="shared" si="204"/>
        <v>325.12000000000006</v>
      </c>
      <c r="AF137" s="463">
        <f t="shared" si="205"/>
        <v>2.3021828103683497E-2</v>
      </c>
      <c r="AH137" s="153">
        <f t="shared" si="206"/>
        <v>0.19242809417694559</v>
      </c>
      <c r="AI137" s="153">
        <f t="shared" si="207"/>
        <v>0.34629921259842528</v>
      </c>
      <c r="AJ137" s="153">
        <f t="shared" si="208"/>
        <v>1.3454068241469817</v>
      </c>
      <c r="AL137" s="317">
        <f t="shared" si="209"/>
        <v>27.000000000000004</v>
      </c>
      <c r="AM137" s="147">
        <f t="shared" si="210"/>
        <v>120.07690460813453</v>
      </c>
      <c r="AO137" s="147">
        <f t="shared" si="211"/>
        <v>27.000000000000004</v>
      </c>
      <c r="AP137" s="147">
        <f t="shared" si="212"/>
        <v>120.07690460813453</v>
      </c>
      <c r="AR137" s="5">
        <f t="shared" si="249"/>
        <v>8.327996155992313</v>
      </c>
      <c r="AS137" s="5">
        <f t="shared" si="246"/>
        <v>5.771653543307087</v>
      </c>
      <c r="AT137" s="5">
        <f t="shared" si="247"/>
        <v>2.556342612685226</v>
      </c>
      <c r="AU137" s="153">
        <f t="shared" si="248"/>
        <v>0.69304229195088674</v>
      </c>
      <c r="AW137" s="5">
        <f t="shared" si="216"/>
        <v>0.77917322834645686</v>
      </c>
      <c r="AX137" s="5"/>
      <c r="AY137" s="5">
        <f t="shared" si="217"/>
        <v>0.9739665354330711</v>
      </c>
      <c r="AZ137" s="5"/>
      <c r="BA137" s="5">
        <f t="shared" si="218"/>
        <v>0.17042284084568174</v>
      </c>
      <c r="BB137" s="5"/>
      <c r="BC137" s="5"/>
      <c r="BD137" s="153">
        <f t="shared" si="219"/>
        <v>0.1664449969445583</v>
      </c>
      <c r="BE137" s="153">
        <f t="shared" si="220"/>
        <v>0.11077203862387426</v>
      </c>
      <c r="BF137" s="153">
        <f t="shared" si="221"/>
        <v>0.11033763847240807</v>
      </c>
      <c r="BG137" s="153"/>
      <c r="BH137" s="463">
        <f t="shared" si="222"/>
        <v>9.696377952755908E-3</v>
      </c>
      <c r="BI137" s="463">
        <f t="shared" si="223"/>
        <v>6.0959999999999999E-3</v>
      </c>
      <c r="BJ137" s="463">
        <f t="shared" si="224"/>
        <v>1.5009613076016814E-3</v>
      </c>
      <c r="BK137" s="463">
        <f t="shared" si="225"/>
        <v>5.1612800000000007E-3</v>
      </c>
      <c r="BL137">
        <f t="shared" si="226"/>
        <v>2.6099999999999999E-3</v>
      </c>
      <c r="BM137">
        <f t="shared" si="227"/>
        <v>1.2007690460813454E-6</v>
      </c>
      <c r="BN137">
        <f t="shared" si="228"/>
        <v>2.6422099706729631E-2</v>
      </c>
      <c r="BO137" s="147">
        <f t="shared" si="229"/>
        <v>25.064619260357592</v>
      </c>
      <c r="BP137" s="153">
        <f t="shared" si="230"/>
        <v>1.0800000000000002E-2</v>
      </c>
      <c r="BQ137" s="153">
        <f t="shared" si="231"/>
        <v>1.0800000000000002E-2</v>
      </c>
      <c r="BR137" s="463"/>
      <c r="BT137" s="147">
        <f t="shared" si="232"/>
        <v>21.600000000000005</v>
      </c>
      <c r="BU137" s="463">
        <f t="shared" si="233"/>
        <v>2.2163149606299219E-2</v>
      </c>
      <c r="BV137" s="463">
        <f t="shared" si="234"/>
        <v>9.7672738545477172E-3</v>
      </c>
      <c r="BW137" s="463">
        <f t="shared" si="235"/>
        <v>6.087197231833914E-4</v>
      </c>
      <c r="BX137" s="463">
        <f t="shared" si="236"/>
        <v>0</v>
      </c>
      <c r="BY137" s="463">
        <f t="shared" si="180"/>
        <v>3.6538956071987684E-2</v>
      </c>
      <c r="BZ137" s="463">
        <f t="shared" si="250"/>
        <v>3.2539143184030325E-2</v>
      </c>
      <c r="CA137" s="549">
        <f t="shared" si="237"/>
        <v>2.1600000000000008E-2</v>
      </c>
      <c r="CB137" s="147">
        <f t="shared" si="238"/>
        <v>123.21724244004835</v>
      </c>
      <c r="CC137" s="153">
        <f t="shared" si="251"/>
        <v>0.10616105577871733</v>
      </c>
      <c r="CD137" s="5">
        <f t="shared" si="239"/>
        <v>0.97200000000000009</v>
      </c>
      <c r="CE137" s="153">
        <f t="shared" si="240"/>
        <v>0.90153506731696875</v>
      </c>
      <c r="CF137" s="5">
        <f t="shared" si="241"/>
        <v>90.153506731696879</v>
      </c>
      <c r="CG137">
        <f t="shared" si="242"/>
        <v>27</v>
      </c>
      <c r="CI137" s="59">
        <f t="shared" si="243"/>
        <v>-50</v>
      </c>
      <c r="CJ137">
        <f t="shared" si="244"/>
        <v>-50</v>
      </c>
    </row>
    <row r="138" spans="5:88" x14ac:dyDescent="0.25">
      <c r="E138" s="150">
        <v>28</v>
      </c>
      <c r="F138" s="191">
        <f t="shared" si="245"/>
        <v>2.8000000000000004E-2</v>
      </c>
      <c r="G138" s="191">
        <f t="shared" si="183"/>
        <v>2.8000000000000004E-2</v>
      </c>
      <c r="H138" s="191">
        <f t="shared" si="184"/>
        <v>0.56000000000000005</v>
      </c>
      <c r="I138" s="191">
        <f t="shared" si="185"/>
        <v>0.44800000000000006</v>
      </c>
      <c r="J138" s="472">
        <f t="shared" si="186"/>
        <v>9</v>
      </c>
      <c r="K138" s="386">
        <f t="shared" si="187"/>
        <v>20.32</v>
      </c>
      <c r="L138" s="386">
        <f t="shared" si="188"/>
        <v>29.32</v>
      </c>
      <c r="M138" s="386"/>
      <c r="N138" s="191">
        <f t="shared" si="189"/>
        <v>0.69304229195088674</v>
      </c>
      <c r="O138" s="152">
        <f t="shared" si="190"/>
        <v>1.1695088676671213</v>
      </c>
      <c r="P138" s="152">
        <f t="shared" si="191"/>
        <v>1.6840927694406547</v>
      </c>
      <c r="Q138" s="191">
        <f t="shared" si="192"/>
        <v>5.8475443383356064E-2</v>
      </c>
      <c r="R138" s="191">
        <f t="shared" si="193"/>
        <v>7.3094304229195078E-2</v>
      </c>
      <c r="S138" s="191">
        <f t="shared" si="194"/>
        <v>20</v>
      </c>
      <c r="T138" s="191">
        <f t="shared" si="195"/>
        <v>0.35912510936132985</v>
      </c>
      <c r="U138" s="191">
        <f t="shared" si="196"/>
        <v>5.9854184893554967</v>
      </c>
      <c r="V138" s="191">
        <f t="shared" si="197"/>
        <v>2.6510219687106042</v>
      </c>
      <c r="W138" s="175">
        <f t="shared" si="198"/>
        <v>277.21691678035478</v>
      </c>
      <c r="X138" s="386">
        <f t="shared" si="199"/>
        <v>115.7884437292726</v>
      </c>
      <c r="Z138" s="191">
        <f t="shared" si="200"/>
        <v>0.14999999999999997</v>
      </c>
      <c r="AA138" s="153">
        <f t="shared" si="201"/>
        <v>1.1072834645669287</v>
      </c>
      <c r="AB138" s="153">
        <f t="shared" si="202"/>
        <v>1.2789904502046381E-2</v>
      </c>
      <c r="AC138" s="153"/>
      <c r="AD138" s="153">
        <f t="shared" si="203"/>
        <v>1.1072834645669289</v>
      </c>
      <c r="AE138" s="317">
        <f t="shared" si="204"/>
        <v>337.16148148148159</v>
      </c>
      <c r="AF138" s="463">
        <f t="shared" si="205"/>
        <v>2.3021828103683497E-2</v>
      </c>
      <c r="AH138" s="153">
        <f t="shared" si="206"/>
        <v>0.19595917942265426</v>
      </c>
      <c r="AI138" s="153">
        <f t="shared" si="207"/>
        <v>0.35912510936132985</v>
      </c>
      <c r="AJ138" s="153">
        <f t="shared" si="208"/>
        <v>1.3549074884157999</v>
      </c>
      <c r="AL138" s="317">
        <f t="shared" si="209"/>
        <v>28.000000000000004</v>
      </c>
      <c r="AM138" s="147">
        <f t="shared" si="210"/>
        <v>115.7884437292726</v>
      </c>
      <c r="AO138" s="147">
        <f t="shared" si="211"/>
        <v>28.000000000000004</v>
      </c>
      <c r="AP138" s="147">
        <f t="shared" si="212"/>
        <v>115.7884437292726</v>
      </c>
      <c r="AR138" s="5">
        <f t="shared" si="249"/>
        <v>8.6364404580661009</v>
      </c>
      <c r="AS138" s="5">
        <f t="shared" si="246"/>
        <v>5.9854184893554967</v>
      </c>
      <c r="AT138" s="5">
        <f t="shared" si="247"/>
        <v>2.6510219687106042</v>
      </c>
      <c r="AU138" s="153">
        <f t="shared" si="248"/>
        <v>0.69304229195088674</v>
      </c>
      <c r="AW138" s="5">
        <f t="shared" si="216"/>
        <v>0.83795858850976979</v>
      </c>
      <c r="AX138" s="5"/>
      <c r="AY138" s="5">
        <f t="shared" si="217"/>
        <v>1.0474482356372121</v>
      </c>
      <c r="AZ138" s="5"/>
      <c r="BA138" s="5">
        <f t="shared" si="218"/>
        <v>0.18328053117011586</v>
      </c>
      <c r="BB138" s="5"/>
      <c r="BC138" s="5"/>
      <c r="BD138" s="153">
        <f t="shared" si="219"/>
        <v>0.1726096264610234</v>
      </c>
      <c r="BE138" s="153">
        <f t="shared" si="220"/>
        <v>0.11487470672105476</v>
      </c>
      <c r="BF138" s="153">
        <f t="shared" si="221"/>
        <v>0.11442421767508987</v>
      </c>
      <c r="BG138" s="153"/>
      <c r="BH138" s="463">
        <f t="shared" si="222"/>
        <v>1.0427929101454911E-2</v>
      </c>
      <c r="BI138" s="463">
        <f t="shared" si="223"/>
        <v>6.0959999999999999E-3</v>
      </c>
      <c r="BJ138" s="463">
        <f t="shared" si="224"/>
        <v>1.4473555466159075E-3</v>
      </c>
      <c r="BK138" s="463">
        <f t="shared" si="225"/>
        <v>4.9769485714285721E-3</v>
      </c>
      <c r="BL138">
        <f t="shared" si="226"/>
        <v>2.6099999999999999E-3</v>
      </c>
      <c r="BM138">
        <f t="shared" si="227"/>
        <v>1.1578844372927261E-6</v>
      </c>
      <c r="BN138">
        <f t="shared" si="228"/>
        <v>2.7019145095714781E-2</v>
      </c>
      <c r="BO138" s="147">
        <f t="shared" si="229"/>
        <v>25.558233219499389</v>
      </c>
      <c r="BP138" s="153">
        <f t="shared" si="230"/>
        <v>1.1200000000000002E-2</v>
      </c>
      <c r="BQ138" s="153">
        <f t="shared" si="231"/>
        <v>1.1200000000000002E-2</v>
      </c>
      <c r="BR138" s="463"/>
      <c r="BT138" s="147">
        <f t="shared" si="232"/>
        <v>22.400000000000002</v>
      </c>
      <c r="BU138" s="463">
        <f t="shared" si="233"/>
        <v>2.3835266517611226E-2</v>
      </c>
      <c r="BV138" s="463">
        <f t="shared" si="234"/>
        <v>1.0504173802421683E-2</v>
      </c>
      <c r="BW138" s="463">
        <f t="shared" si="235"/>
        <v>6.5464507952781752E-4</v>
      </c>
      <c r="BX138" s="463">
        <f t="shared" si="236"/>
        <v>0</v>
      </c>
      <c r="BY138" s="463">
        <f t="shared" si="180"/>
        <v>3.93034065888411E-2</v>
      </c>
      <c r="BZ138" s="463">
        <f t="shared" si="250"/>
        <v>3.4994085399560726E-2</v>
      </c>
      <c r="CA138" s="549">
        <f t="shared" si="237"/>
        <v>2.2400000000000003E-2</v>
      </c>
      <c r="CB138" s="147">
        <f t="shared" si="238"/>
        <v>131.69157738796255</v>
      </c>
      <c r="CC138" s="153">
        <f t="shared" si="251"/>
        <v>0.11112255168455588</v>
      </c>
      <c r="CD138" s="5">
        <f t="shared" si="239"/>
        <v>1.008</v>
      </c>
      <c r="CE138" s="153">
        <f t="shared" si="240"/>
        <v>0.90070564522420793</v>
      </c>
      <c r="CF138" s="5">
        <f t="shared" si="241"/>
        <v>90.070564522420796</v>
      </c>
      <c r="CG138">
        <f t="shared" si="242"/>
        <v>28.000000000000004</v>
      </c>
      <c r="CI138" s="59">
        <f t="shared" si="243"/>
        <v>-50</v>
      </c>
      <c r="CJ138">
        <f t="shared" si="244"/>
        <v>-50</v>
      </c>
    </row>
    <row r="139" spans="5:88" x14ac:dyDescent="0.25">
      <c r="E139" s="150">
        <v>29</v>
      </c>
      <c r="F139" s="191">
        <f t="shared" si="245"/>
        <v>2.8999999999999998E-2</v>
      </c>
      <c r="G139" s="191">
        <f t="shared" si="183"/>
        <v>2.8999999999999998E-2</v>
      </c>
      <c r="H139" s="191">
        <f t="shared" si="184"/>
        <v>0.57999999999999996</v>
      </c>
      <c r="I139" s="191">
        <f t="shared" si="185"/>
        <v>0.46399999999999997</v>
      </c>
      <c r="J139" s="472">
        <f t="shared" si="186"/>
        <v>9</v>
      </c>
      <c r="K139" s="386">
        <f t="shared" si="187"/>
        <v>20.32</v>
      </c>
      <c r="L139" s="386">
        <f t="shared" si="188"/>
        <v>29.32</v>
      </c>
      <c r="M139" s="386"/>
      <c r="N139" s="191">
        <f t="shared" si="189"/>
        <v>0.69304229195088674</v>
      </c>
      <c r="O139" s="152">
        <f t="shared" si="190"/>
        <v>1.1695088676671213</v>
      </c>
      <c r="P139" s="152">
        <f t="shared" si="191"/>
        <v>1.6840927694406547</v>
      </c>
      <c r="Q139" s="191">
        <f t="shared" si="192"/>
        <v>5.8475443383356064E-2</v>
      </c>
      <c r="R139" s="191">
        <f t="shared" si="193"/>
        <v>7.3094304229195078E-2</v>
      </c>
      <c r="S139" s="191">
        <f t="shared" si="194"/>
        <v>20</v>
      </c>
      <c r="T139" s="191">
        <f t="shared" si="195"/>
        <v>0.37195100612423454</v>
      </c>
      <c r="U139" s="191">
        <f t="shared" si="196"/>
        <v>6.1991834354039081</v>
      </c>
      <c r="V139" s="191">
        <f t="shared" si="197"/>
        <v>2.7457013247359829</v>
      </c>
      <c r="W139" s="175">
        <f t="shared" si="198"/>
        <v>277.21691678035478</v>
      </c>
      <c r="X139" s="386">
        <f t="shared" si="199"/>
        <v>111.79573877309078</v>
      </c>
      <c r="Z139" s="191">
        <f t="shared" si="200"/>
        <v>0.14999999999999997</v>
      </c>
      <c r="AA139" s="153">
        <f t="shared" si="201"/>
        <v>1.1072834645669287</v>
      </c>
      <c r="AB139" s="153">
        <f t="shared" si="202"/>
        <v>1.2789904502046381E-2</v>
      </c>
      <c r="AC139" s="153"/>
      <c r="AD139" s="153">
        <f t="shared" si="203"/>
        <v>1.1072834645669289</v>
      </c>
      <c r="AE139" s="317">
        <f t="shared" si="204"/>
        <v>349.202962962963</v>
      </c>
      <c r="AF139" s="463">
        <f t="shared" si="205"/>
        <v>2.3021828103683497E-2</v>
      </c>
      <c r="AH139" s="153">
        <f t="shared" si="206"/>
        <v>0.199427752761316</v>
      </c>
      <c r="AI139" s="153">
        <f t="shared" si="207"/>
        <v>0.37195100612423454</v>
      </c>
      <c r="AJ139" s="153">
        <f t="shared" si="208"/>
        <v>1.3644081526846181</v>
      </c>
      <c r="AL139" s="317">
        <f t="shared" si="209"/>
        <v>28.999999999999996</v>
      </c>
      <c r="AM139" s="147">
        <f t="shared" si="210"/>
        <v>111.79573877309078</v>
      </c>
      <c r="AO139" s="147">
        <f t="shared" si="211"/>
        <v>28.999999999999996</v>
      </c>
      <c r="AP139" s="147">
        <f t="shared" si="212"/>
        <v>111.79573877309078</v>
      </c>
      <c r="AR139" s="5">
        <f t="shared" si="249"/>
        <v>8.9448847601398906</v>
      </c>
      <c r="AS139" s="5">
        <f t="shared" si="246"/>
        <v>6.1991834354039081</v>
      </c>
      <c r="AT139" s="5">
        <f t="shared" si="247"/>
        <v>2.7457013247359825</v>
      </c>
      <c r="AU139" s="153">
        <f t="shared" si="248"/>
        <v>0.69304229195088685</v>
      </c>
      <c r="AW139" s="5">
        <f t="shared" si="216"/>
        <v>0.89888159813356661</v>
      </c>
      <c r="AX139" s="5"/>
      <c r="AY139" s="5">
        <f t="shared" si="217"/>
        <v>1.1236019976669582</v>
      </c>
      <c r="AZ139" s="5"/>
      <c r="BA139" s="5">
        <f t="shared" si="218"/>
        <v>0.1966057738699839</v>
      </c>
      <c r="BB139" s="5"/>
      <c r="BC139" s="5"/>
      <c r="BD139" s="153">
        <f t="shared" si="219"/>
        <v>0.17877425597748858</v>
      </c>
      <c r="BE139" s="153">
        <f t="shared" si="220"/>
        <v>0.11897737481823528</v>
      </c>
      <c r="BF139" s="153">
        <f t="shared" si="221"/>
        <v>0.11851079687777162</v>
      </c>
      <c r="BG139" s="153"/>
      <c r="BH139" s="463">
        <f t="shared" si="222"/>
        <v>1.1186082110106615E-2</v>
      </c>
      <c r="BI139" s="463">
        <f t="shared" si="223"/>
        <v>6.0960000000000016E-3</v>
      </c>
      <c r="BJ139" s="463">
        <f t="shared" si="224"/>
        <v>1.3974467346636347E-3</v>
      </c>
      <c r="BK139" s="463">
        <f t="shared" si="225"/>
        <v>4.8053296551724143E-3</v>
      </c>
      <c r="BL139">
        <f t="shared" si="226"/>
        <v>2.6099999999999999E-3</v>
      </c>
      <c r="BM139">
        <f t="shared" si="227"/>
        <v>1.1179573877309077E-6</v>
      </c>
      <c r="BN139">
        <f t="shared" si="228"/>
        <v>2.7663189722496671E-2</v>
      </c>
      <c r="BO139" s="147">
        <f t="shared" si="229"/>
        <v>26.094858499942667</v>
      </c>
      <c r="BP139" s="153">
        <f t="shared" si="230"/>
        <v>1.1599999999999999E-2</v>
      </c>
      <c r="BQ139" s="153">
        <f t="shared" si="231"/>
        <v>1.1599999999999999E-2</v>
      </c>
      <c r="BR139" s="463"/>
      <c r="BT139" s="147">
        <f t="shared" si="232"/>
        <v>23.2</v>
      </c>
      <c r="BU139" s="463">
        <f t="shared" si="233"/>
        <v>2.5568187680243694E-2</v>
      </c>
      <c r="BV139" s="463">
        <f t="shared" si="234"/>
        <v>1.1267870112036522E-2</v>
      </c>
      <c r="BW139" s="463">
        <f t="shared" si="235"/>
        <v>7.0224044883022225E-4</v>
      </c>
      <c r="BX139" s="463">
        <f t="shared" si="236"/>
        <v>0</v>
      </c>
      <c r="BY139" s="463">
        <f t="shared" si="180"/>
        <v>4.2169531827036602E-2</v>
      </c>
      <c r="BZ139" s="463">
        <f t="shared" si="250"/>
        <v>3.7538298241110442E-2</v>
      </c>
      <c r="CA139" s="549">
        <f t="shared" si="237"/>
        <v>2.3200000000000009E-2</v>
      </c>
      <c r="CB139" s="147">
        <f t="shared" si="238"/>
        <v>140.44612830925749</v>
      </c>
      <c r="CC139" s="153">
        <f t="shared" si="251"/>
        <v>0.11623272154953328</v>
      </c>
      <c r="CD139" s="5">
        <f t="shared" si="239"/>
        <v>1.044</v>
      </c>
      <c r="CE139" s="153">
        <f t="shared" si="240"/>
        <v>0.89981947639409765</v>
      </c>
      <c r="CF139" s="5">
        <f t="shared" si="241"/>
        <v>89.981947639409768</v>
      </c>
      <c r="CG139">
        <f t="shared" si="242"/>
        <v>28.999999999999996</v>
      </c>
      <c r="CI139" s="59">
        <f t="shared" si="243"/>
        <v>-50</v>
      </c>
      <c r="CJ139">
        <f t="shared" si="244"/>
        <v>-50</v>
      </c>
    </row>
    <row r="140" spans="5:88" x14ac:dyDescent="0.25">
      <c r="E140" s="150">
        <v>30</v>
      </c>
      <c r="F140" s="191">
        <f t="shared" si="245"/>
        <v>0.03</v>
      </c>
      <c r="G140" s="191">
        <f t="shared" si="183"/>
        <v>0.03</v>
      </c>
      <c r="H140" s="191">
        <f t="shared" si="184"/>
        <v>0.6</v>
      </c>
      <c r="I140" s="191">
        <f t="shared" si="185"/>
        <v>0.48</v>
      </c>
      <c r="J140" s="472">
        <f t="shared" si="186"/>
        <v>9</v>
      </c>
      <c r="K140" s="386">
        <f t="shared" si="187"/>
        <v>20.32</v>
      </c>
      <c r="L140" s="386">
        <f t="shared" si="188"/>
        <v>29.32</v>
      </c>
      <c r="M140" s="386"/>
      <c r="N140" s="191">
        <f t="shared" si="189"/>
        <v>0.69304229195088674</v>
      </c>
      <c r="O140" s="152">
        <f t="shared" si="190"/>
        <v>1.1695088676671213</v>
      </c>
      <c r="P140" s="152">
        <f t="shared" si="191"/>
        <v>1.6840927694406547</v>
      </c>
      <c r="Q140" s="191">
        <f t="shared" si="192"/>
        <v>5.8475443383356064E-2</v>
      </c>
      <c r="R140" s="191">
        <f t="shared" si="193"/>
        <v>7.3094304229195078E-2</v>
      </c>
      <c r="S140" s="191">
        <f t="shared" si="194"/>
        <v>20</v>
      </c>
      <c r="T140" s="191">
        <f t="shared" si="195"/>
        <v>0.38477690288713917</v>
      </c>
      <c r="U140" s="191">
        <f t="shared" si="196"/>
        <v>6.4129483814523178</v>
      </c>
      <c r="V140" s="191">
        <f t="shared" si="197"/>
        <v>2.8403806807613616</v>
      </c>
      <c r="W140" s="175">
        <f t="shared" si="198"/>
        <v>277.21691678035478</v>
      </c>
      <c r="X140" s="386">
        <f t="shared" si="199"/>
        <v>108.06921414732108</v>
      </c>
      <c r="Z140" s="191">
        <f t="shared" si="200"/>
        <v>0.14999999999999997</v>
      </c>
      <c r="AA140" s="153">
        <f t="shared" si="201"/>
        <v>1.1072834645669287</v>
      </c>
      <c r="AB140" s="153">
        <f t="shared" si="202"/>
        <v>1.2789904502046381E-2</v>
      </c>
      <c r="AC140" s="153"/>
      <c r="AD140" s="153">
        <f t="shared" si="203"/>
        <v>1.1072834645669289</v>
      </c>
      <c r="AE140" s="317">
        <f t="shared" si="204"/>
        <v>361.24444444444441</v>
      </c>
      <c r="AF140" s="463">
        <f t="shared" si="205"/>
        <v>2.3021828103683497E-2</v>
      </c>
      <c r="AH140" s="153">
        <f t="shared" si="206"/>
        <v>0.202837021134844</v>
      </c>
      <c r="AI140" s="153">
        <f t="shared" si="207"/>
        <v>0.38477690288713917</v>
      </c>
      <c r="AJ140" s="153">
        <f t="shared" si="208"/>
        <v>1.3739088169534364</v>
      </c>
      <c r="AL140" s="317">
        <f t="shared" si="209"/>
        <v>30</v>
      </c>
      <c r="AM140" s="147">
        <f t="shared" si="210"/>
        <v>108.06921414732108</v>
      </c>
      <c r="AO140" s="147">
        <f t="shared" si="211"/>
        <v>30</v>
      </c>
      <c r="AP140" s="147">
        <f t="shared" si="212"/>
        <v>108.06921414732108</v>
      </c>
      <c r="AR140" s="5">
        <f t="shared" si="249"/>
        <v>9.2533290622136821</v>
      </c>
      <c r="AS140" s="5">
        <f t="shared" si="246"/>
        <v>6.4129483814523178</v>
      </c>
      <c r="AT140" s="5">
        <f t="shared" si="247"/>
        <v>2.8403806807613643</v>
      </c>
      <c r="AU140" s="153">
        <f t="shared" si="248"/>
        <v>0.69304229195088651</v>
      </c>
      <c r="AW140" s="5">
        <f t="shared" si="216"/>
        <v>0.96194225721784765</v>
      </c>
      <c r="AX140" s="5"/>
      <c r="AY140" s="5">
        <f t="shared" si="217"/>
        <v>1.2024278215223096</v>
      </c>
      <c r="AZ140" s="5"/>
      <c r="BA140" s="5">
        <f t="shared" si="218"/>
        <v>0.21039856894528625</v>
      </c>
      <c r="BB140" s="5"/>
      <c r="BC140" s="5"/>
      <c r="BD140" s="153">
        <f t="shared" si="219"/>
        <v>0.18493888549395365</v>
      </c>
      <c r="BE140" s="153">
        <f t="shared" si="220"/>
        <v>0.12308004291541588</v>
      </c>
      <c r="BF140" s="153">
        <f t="shared" si="221"/>
        <v>0.12259737608045347</v>
      </c>
      <c r="BG140" s="153"/>
      <c r="BH140" s="463">
        <f t="shared" si="222"/>
        <v>1.1970836978710995E-2</v>
      </c>
      <c r="BI140" s="463">
        <f t="shared" si="223"/>
        <v>6.0959999999999999E-3</v>
      </c>
      <c r="BJ140" s="463">
        <f t="shared" si="224"/>
        <v>1.3508651768415134E-3</v>
      </c>
      <c r="BK140" s="463">
        <f t="shared" si="225"/>
        <v>4.6451520000000005E-3</v>
      </c>
      <c r="BL140">
        <f t="shared" si="226"/>
        <v>2.6099999999999999E-3</v>
      </c>
      <c r="BM140">
        <f t="shared" si="227"/>
        <v>1.0806921414732107E-6</v>
      </c>
      <c r="BN140">
        <f t="shared" si="228"/>
        <v>2.8352617982577055E-2</v>
      </c>
      <c r="BO140" s="147">
        <f t="shared" si="229"/>
        <v>26.672854155552507</v>
      </c>
      <c r="BP140" s="153">
        <f t="shared" si="230"/>
        <v>1.2E-2</v>
      </c>
      <c r="BQ140" s="153">
        <f t="shared" si="231"/>
        <v>1.2E-2</v>
      </c>
      <c r="BR140" s="463"/>
      <c r="BT140" s="147">
        <f t="shared" si="232"/>
        <v>24</v>
      </c>
      <c r="BU140" s="463">
        <f t="shared" si="233"/>
        <v>2.7361913094196562E-2</v>
      </c>
      <c r="BV140" s="463">
        <f t="shared" si="234"/>
        <v>1.205836278339225E-2</v>
      </c>
      <c r="BW140" s="463">
        <f t="shared" si="235"/>
        <v>7.5150583109060733E-4</v>
      </c>
      <c r="BX140" s="463">
        <f t="shared" si="236"/>
        <v>0</v>
      </c>
      <c r="BY140" s="463">
        <f t="shared" si="180"/>
        <v>4.5137455675021927E-2</v>
      </c>
      <c r="BZ140" s="463">
        <f t="shared" si="250"/>
        <v>4.0171781708679417E-2</v>
      </c>
      <c r="CA140" s="549">
        <f t="shared" si="237"/>
        <v>2.4000000000000007E-2</v>
      </c>
      <c r="CB140" s="147">
        <f t="shared" si="238"/>
        <v>149.48101909238076</v>
      </c>
      <c r="CC140" s="153">
        <f t="shared" si="251"/>
        <v>0.12149007365759899</v>
      </c>
      <c r="CD140" s="5">
        <f t="shared" si="239"/>
        <v>1.08</v>
      </c>
      <c r="CE140" s="153">
        <f t="shared" si="240"/>
        <v>0.89888383073548284</v>
      </c>
      <c r="CF140" s="5">
        <f t="shared" si="241"/>
        <v>89.888383073548283</v>
      </c>
      <c r="CG140">
        <f t="shared" si="242"/>
        <v>30</v>
      </c>
      <c r="CI140" s="59">
        <f t="shared" si="243"/>
        <v>-50</v>
      </c>
      <c r="CJ140">
        <f t="shared" si="244"/>
        <v>-50</v>
      </c>
    </row>
    <row r="141" spans="5:88" x14ac:dyDescent="0.25">
      <c r="E141" s="150">
        <v>31</v>
      </c>
      <c r="F141" s="191">
        <f t="shared" si="245"/>
        <v>3.1E-2</v>
      </c>
      <c r="G141" s="191">
        <f t="shared" si="183"/>
        <v>3.1E-2</v>
      </c>
      <c r="H141" s="191">
        <f t="shared" si="184"/>
        <v>0.62</v>
      </c>
      <c r="I141" s="191">
        <f t="shared" si="185"/>
        <v>0.496</v>
      </c>
      <c r="J141" s="472">
        <f t="shared" si="186"/>
        <v>9</v>
      </c>
      <c r="K141" s="386">
        <f t="shared" si="187"/>
        <v>20.32</v>
      </c>
      <c r="L141" s="386">
        <f t="shared" si="188"/>
        <v>29.32</v>
      </c>
      <c r="M141" s="386"/>
      <c r="N141" s="191">
        <f t="shared" si="189"/>
        <v>0.69304229195088674</v>
      </c>
      <c r="O141" s="152">
        <f t="shared" si="190"/>
        <v>1.1695088676671213</v>
      </c>
      <c r="P141" s="152">
        <f t="shared" si="191"/>
        <v>1.6840927694406547</v>
      </c>
      <c r="Q141" s="191">
        <f t="shared" si="192"/>
        <v>5.8475443383356064E-2</v>
      </c>
      <c r="R141" s="191">
        <f t="shared" si="193"/>
        <v>7.3094304229195078E-2</v>
      </c>
      <c r="S141" s="191">
        <f t="shared" si="194"/>
        <v>20</v>
      </c>
      <c r="T141" s="191">
        <f t="shared" si="195"/>
        <v>0.3976027996500438</v>
      </c>
      <c r="U141" s="191">
        <f t="shared" si="196"/>
        <v>6.6267133275007293</v>
      </c>
      <c r="V141" s="191">
        <f t="shared" si="197"/>
        <v>2.9350600367867403</v>
      </c>
      <c r="W141" s="175">
        <f t="shared" si="198"/>
        <v>277.21691678035478</v>
      </c>
      <c r="X141" s="386">
        <f t="shared" si="199"/>
        <v>104.58311046514943</v>
      </c>
      <c r="Z141" s="191">
        <f t="shared" si="200"/>
        <v>0.14999999999999997</v>
      </c>
      <c r="AA141" s="153">
        <f t="shared" si="201"/>
        <v>1.1072834645669287</v>
      </c>
      <c r="AB141" s="153">
        <f t="shared" si="202"/>
        <v>1.2789904502046381E-2</v>
      </c>
      <c r="AC141" s="153"/>
      <c r="AD141" s="153">
        <f t="shared" si="203"/>
        <v>1.1072834645669289</v>
      </c>
      <c r="AE141" s="317">
        <f t="shared" si="204"/>
        <v>373.28592592592594</v>
      </c>
      <c r="AF141" s="463">
        <f t="shared" si="205"/>
        <v>2.3021828103683497E-2</v>
      </c>
      <c r="AH141" s="153">
        <f t="shared" si="206"/>
        <v>0.20618992631621391</v>
      </c>
      <c r="AI141" s="153">
        <f t="shared" si="207"/>
        <v>0.3976027996500438</v>
      </c>
      <c r="AJ141" s="153">
        <f t="shared" si="208"/>
        <v>1.3834094812222546</v>
      </c>
      <c r="AL141" s="317">
        <f t="shared" si="209"/>
        <v>31</v>
      </c>
      <c r="AM141" s="147">
        <f t="shared" si="210"/>
        <v>104.58311046514943</v>
      </c>
      <c r="AO141" s="147">
        <f t="shared" si="211"/>
        <v>31</v>
      </c>
      <c r="AP141" s="147">
        <f t="shared" si="212"/>
        <v>104.58311046514943</v>
      </c>
      <c r="AR141" s="5">
        <f t="shared" si="249"/>
        <v>9.56177336428747</v>
      </c>
      <c r="AS141" s="5">
        <f t="shared" si="246"/>
        <v>6.6267133275007293</v>
      </c>
      <c r="AT141" s="5">
        <f t="shared" si="247"/>
        <v>2.9350600367867408</v>
      </c>
      <c r="AU141" s="153">
        <f t="shared" si="248"/>
        <v>0.69304229195088674</v>
      </c>
      <c r="AW141" s="5">
        <f t="shared" si="216"/>
        <v>1.0271405657626129</v>
      </c>
      <c r="AX141" s="5"/>
      <c r="AY141" s="5">
        <f t="shared" si="217"/>
        <v>1.2839257072032662</v>
      </c>
      <c r="AZ141" s="5"/>
      <c r="BA141" s="5">
        <f t="shared" si="218"/>
        <v>0.22465891639602215</v>
      </c>
      <c r="BB141" s="5"/>
      <c r="BC141" s="5"/>
      <c r="BD141" s="153">
        <f t="shared" si="219"/>
        <v>0.19110351501041878</v>
      </c>
      <c r="BE141" s="153">
        <f t="shared" si="220"/>
        <v>0.12718271101259637</v>
      </c>
      <c r="BF141" s="153">
        <f t="shared" si="221"/>
        <v>0.12668395528313522</v>
      </c>
      <c r="BG141" s="153"/>
      <c r="BH141" s="463">
        <f t="shared" si="222"/>
        <v>1.2782193707268075E-2</v>
      </c>
      <c r="BI141" s="463">
        <f t="shared" si="223"/>
        <v>6.0959999999999999E-3</v>
      </c>
      <c r="BJ141" s="463">
        <f t="shared" si="224"/>
        <v>1.3072888808143678E-3</v>
      </c>
      <c r="BK141" s="463">
        <f t="shared" si="225"/>
        <v>4.4953083870967747E-3</v>
      </c>
      <c r="BL141">
        <f t="shared" si="226"/>
        <v>2.6099999999999999E-3</v>
      </c>
      <c r="BM141">
        <f t="shared" si="227"/>
        <v>1.0458311046514943E-6</v>
      </c>
      <c r="BN141">
        <f t="shared" si="228"/>
        <v>2.9086026962850238E-2</v>
      </c>
      <c r="BO141" s="147">
        <f t="shared" si="229"/>
        <v>27.290790975179217</v>
      </c>
      <c r="BP141" s="153">
        <f t="shared" si="230"/>
        <v>1.2400000000000001E-2</v>
      </c>
      <c r="BQ141" s="153">
        <f t="shared" si="231"/>
        <v>1.2400000000000001E-2</v>
      </c>
      <c r="BR141" s="463"/>
      <c r="BT141" s="147">
        <f t="shared" si="232"/>
        <v>24.800000000000004</v>
      </c>
      <c r="BU141" s="463">
        <f t="shared" si="233"/>
        <v>2.9216442759469885E-2</v>
      </c>
      <c r="BV141" s="463">
        <f t="shared" si="234"/>
        <v>1.2875651816488828E-2</v>
      </c>
      <c r="BW141" s="463">
        <f t="shared" si="235"/>
        <v>8.0244122630897035E-4</v>
      </c>
      <c r="BX141" s="463">
        <f t="shared" si="236"/>
        <v>0</v>
      </c>
      <c r="BY141" s="463">
        <f t="shared" si="180"/>
        <v>4.8207306501311935E-2</v>
      </c>
      <c r="BZ141" s="463">
        <f t="shared" si="250"/>
        <v>4.2894535802267687E-2</v>
      </c>
      <c r="CA141" s="549">
        <f t="shared" si="237"/>
        <v>2.4800000000000006E-2</v>
      </c>
      <c r="CB141" s="147">
        <f t="shared" si="238"/>
        <v>158.79637810584731</v>
      </c>
      <c r="CC141" s="153">
        <f t="shared" si="251"/>
        <v>0.12689333346416218</v>
      </c>
      <c r="CD141" s="5">
        <f t="shared" si="239"/>
        <v>1.1160000000000001</v>
      </c>
      <c r="CE141" s="153">
        <f t="shared" si="240"/>
        <v>0.89790488849876748</v>
      </c>
      <c r="CF141" s="5">
        <f t="shared" si="241"/>
        <v>89.790488849876752</v>
      </c>
      <c r="CG141">
        <f t="shared" si="242"/>
        <v>31</v>
      </c>
      <c r="CI141" s="59">
        <f t="shared" si="243"/>
        <v>-50</v>
      </c>
      <c r="CJ141">
        <f t="shared" si="244"/>
        <v>-50</v>
      </c>
    </row>
    <row r="142" spans="5:88" x14ac:dyDescent="0.25">
      <c r="E142" s="150">
        <v>32</v>
      </c>
      <c r="F142" s="191">
        <f t="shared" si="245"/>
        <v>3.2000000000000001E-2</v>
      </c>
      <c r="G142" s="191">
        <f t="shared" ref="G142:G173" si="252">IF(PLOT_TYPE=1, E142/100*Iout2, min_I*EXP(Q142*rr/100))</f>
        <v>3.2000000000000001E-2</v>
      </c>
      <c r="H142" s="191">
        <f t="shared" ref="H142:H173" si="253">F142*Vout</f>
        <v>0.64</v>
      </c>
      <c r="I142" s="191">
        <f t="shared" ref="I142:I173" si="254">Vout2*G142</f>
        <v>0.51200000000000001</v>
      </c>
      <c r="J142" s="472">
        <f t="shared" si="186"/>
        <v>9</v>
      </c>
      <c r="K142" s="386">
        <f t="shared" si="187"/>
        <v>20.32</v>
      </c>
      <c r="L142" s="386">
        <f t="shared" si="188"/>
        <v>29.32</v>
      </c>
      <c r="M142" s="386"/>
      <c r="N142" s="191">
        <f t="shared" si="189"/>
        <v>0.69304229195088674</v>
      </c>
      <c r="O142" s="152">
        <f t="shared" ref="O142:O173" si="255">N142*J142*Isw_max*0.5*Efficiency*Pout/(Pout+Pout2)</f>
        <v>1.1695088676671213</v>
      </c>
      <c r="P142" s="152">
        <f t="shared" ref="P142:P173" si="256">N142*J142*Isw_max*0.5*Efficiency*(Pout2/Pout_total)</f>
        <v>1.6840927694406547</v>
      </c>
      <c r="Q142" s="191">
        <f t="shared" si="192"/>
        <v>5.8475443383356064E-2</v>
      </c>
      <c r="R142" s="191">
        <f t="shared" ref="R142:R173" si="257">O142/Vout2</f>
        <v>7.3094304229195078E-2</v>
      </c>
      <c r="S142" s="191">
        <f t="shared" ref="S142:S173" si="258">MIN(Vout,O142/F142)</f>
        <v>20</v>
      </c>
      <c r="T142" s="191">
        <f t="shared" ref="T142:T173" si="259">MIN(2*(Vout*F142+Vout2*G142)/(Efficiency*J142*N142), Isw_max)</f>
        <v>0.41042869641294843</v>
      </c>
      <c r="U142" s="191">
        <f t="shared" si="196"/>
        <v>6.8404782735491407</v>
      </c>
      <c r="V142" s="191">
        <f t="shared" si="197"/>
        <v>3.0297393928121195</v>
      </c>
      <c r="W142" s="175">
        <f t="shared" si="198"/>
        <v>277.21691678035478</v>
      </c>
      <c r="X142" s="386">
        <f t="shared" si="199"/>
        <v>101.3148882631135</v>
      </c>
      <c r="Z142" s="191">
        <f t="shared" si="200"/>
        <v>0.14999999999999997</v>
      </c>
      <c r="AA142" s="153">
        <f t="shared" si="201"/>
        <v>1.1072834645669287</v>
      </c>
      <c r="AB142" s="153">
        <f t="shared" ref="AB142:AB173" si="260">0.5*AA142*Z142*Nps*W142/1000*(Pout/(Pout+Pout2))</f>
        <v>1.2789904502046381E-2</v>
      </c>
      <c r="AC142" s="153"/>
      <c r="AD142" s="153">
        <f t="shared" si="203"/>
        <v>1.1072834645669289</v>
      </c>
      <c r="AE142" s="317">
        <f t="shared" ref="AE142:AE173" si="261">MAX(10, F142/(0.5*AD142/1000000*Isw_min*Nps)/1000*Pout_total/Pout)</f>
        <v>385.32740740740741</v>
      </c>
      <c r="AF142" s="463">
        <f t="shared" ref="AF142:AF173" si="262">0.5*AD142/1000000*Isw_min*Nps*W142*1000*(Pout/Pout_total)</f>
        <v>2.3021828103683497E-2</v>
      </c>
      <c r="AH142" s="153">
        <f t="shared" ref="AH142:AH173" si="263">SQRT((H142+I142)/(0.5*L*Fsw_DCM))</f>
        <v>0.20948917462655273</v>
      </c>
      <c r="AI142" s="153">
        <f t="shared" ref="AI142:AI173" si="264">MAX(IF(F142&gt;AB142,T142,AH142),Isw_min)</f>
        <v>0.41042869641294843</v>
      </c>
      <c r="AJ142" s="153">
        <f t="shared" ref="AJ142:AJ173" si="265">IF(F142&gt;AF142, (AI142-Isw_min)/1.08*0.8+1.2, AE142*0.2/350+1)</f>
        <v>1.3929101454910728</v>
      </c>
      <c r="AL142" s="317">
        <f t="shared" ref="AL142:AL173" si="266">F142*1000</f>
        <v>32</v>
      </c>
      <c r="AM142" s="147">
        <f t="shared" ref="AM142:AM173" si="267">IF(F142&gt;AF142, X142, AE142)</f>
        <v>101.3148882631135</v>
      </c>
      <c r="AO142" s="147">
        <f t="shared" si="211"/>
        <v>32</v>
      </c>
      <c r="AP142" s="147">
        <f t="shared" si="212"/>
        <v>101.3148882631135</v>
      </c>
      <c r="AR142" s="5">
        <f t="shared" si="249"/>
        <v>9.8702176663612597</v>
      </c>
      <c r="AS142" s="5">
        <f t="shared" si="246"/>
        <v>6.8404782735491407</v>
      </c>
      <c r="AT142" s="5">
        <f t="shared" si="247"/>
        <v>3.029739392812119</v>
      </c>
      <c r="AU142" s="153">
        <f t="shared" si="248"/>
        <v>0.69304229195088685</v>
      </c>
      <c r="AW142" s="5">
        <f t="shared" si="216"/>
        <v>1.0944765237678624</v>
      </c>
      <c r="AX142" s="5"/>
      <c r="AY142" s="5">
        <f t="shared" si="217"/>
        <v>1.3680956547098282</v>
      </c>
      <c r="AZ142" s="5"/>
      <c r="BA142" s="5">
        <f t="shared" si="218"/>
        <v>0.23938681622219213</v>
      </c>
      <c r="BB142" s="5"/>
      <c r="BC142" s="5"/>
      <c r="BD142" s="153">
        <f t="shared" si="219"/>
        <v>0.19726814452688393</v>
      </c>
      <c r="BE142" s="153">
        <f t="shared" si="220"/>
        <v>0.13128537910977686</v>
      </c>
      <c r="BF142" s="153">
        <f t="shared" si="221"/>
        <v>0.13077053448581696</v>
      </c>
      <c r="BG142" s="153"/>
      <c r="BH142" s="463">
        <f t="shared" si="222"/>
        <v>1.3620152295777848E-2</v>
      </c>
      <c r="BI142" s="463">
        <f t="shared" si="223"/>
        <v>6.095999999999999E-3</v>
      </c>
      <c r="BJ142" s="463">
        <f t="shared" si="224"/>
        <v>1.2664361032889188E-3</v>
      </c>
      <c r="BK142" s="463">
        <f t="shared" si="225"/>
        <v>4.3548299999999996E-3</v>
      </c>
      <c r="BL142">
        <f t="shared" si="226"/>
        <v>2.6099999999999999E-3</v>
      </c>
      <c r="BM142">
        <f t="shared" ref="BM142:BM173" si="268">(J142-Vdd)*Qg*AM142</f>
        <v>1.013148882631135E-6</v>
      </c>
      <c r="BN142">
        <f t="shared" ref="BN142:BN173" si="269">(BI142+BJ142+BK142+BL142+BM142+BH142*(1+RdsonTC*(Ta-25)))/(1-BH142*RdsonTC*ThetaJA)</f>
        <v>2.9862193354021752E-2</v>
      </c>
      <c r="BO142" s="147">
        <f t="shared" si="229"/>
        <v>27.947418399066766</v>
      </c>
      <c r="BP142" s="153">
        <f t="shared" si="230"/>
        <v>1.2800000000000001E-2</v>
      </c>
      <c r="BQ142" s="153">
        <f t="shared" si="231"/>
        <v>1.2800000000000001E-2</v>
      </c>
      <c r="BR142" s="463"/>
      <c r="BT142" s="147">
        <f t="shared" si="232"/>
        <v>25.6</v>
      </c>
      <c r="BU142" s="463">
        <f t="shared" si="233"/>
        <v>3.1131776676063656E-2</v>
      </c>
      <c r="BV142" s="463">
        <f t="shared" si="234"/>
        <v>1.3719737211326279E-2</v>
      </c>
      <c r="BW142" s="463">
        <f t="shared" si="235"/>
        <v>8.550466344853122E-4</v>
      </c>
      <c r="BX142" s="463">
        <f t="shared" si="236"/>
        <v>0</v>
      </c>
      <c r="BY142" s="463">
        <f t="shared" si="180"/>
        <v>5.1379217168426305E-2</v>
      </c>
      <c r="BZ142" s="463">
        <f t="shared" si="250"/>
        <v>4.5706560521875245E-2</v>
      </c>
      <c r="CA142" s="549">
        <f t="shared" ref="CA142:CA173" si="270">0.5*Lleak*0.000000001*AI142^2*AM142*1000</f>
        <v>2.5600000000000001E-2</v>
      </c>
      <c r="CB142" s="147">
        <f t="shared" si="238"/>
        <v>168.39233821217681</v>
      </c>
      <c r="CC142" s="153">
        <f t="shared" si="251"/>
        <v>0.13244141052244807</v>
      </c>
      <c r="CD142" s="5">
        <f t="shared" si="239"/>
        <v>1.1520000000000001</v>
      </c>
      <c r="CE142" s="153">
        <f t="shared" si="240"/>
        <v>0.89688793164292535</v>
      </c>
      <c r="CF142" s="5">
        <f t="shared" si="241"/>
        <v>89.688793164292534</v>
      </c>
      <c r="CG142">
        <f t="shared" si="242"/>
        <v>32</v>
      </c>
      <c r="CI142" s="59">
        <f t="shared" ref="CI142:CI173" si="271">IF(ABS(F142-Ioutmax_Vinmin)&lt;Iout/200, AM142, -50)</f>
        <v>-50</v>
      </c>
      <c r="CJ142">
        <f t="shared" ref="CJ142:CJ173" si="272">IF(ABS(F142-Ioutmax_Vinmin)&lt;Iout/200, (O142+P142)*CE142, -50)</f>
        <v>-50</v>
      </c>
    </row>
    <row r="143" spans="5:88" x14ac:dyDescent="0.25">
      <c r="E143" s="150">
        <v>33</v>
      </c>
      <c r="F143" s="191">
        <f t="shared" ref="F143:F174" si="273">IF(PLOT_TYPE=1, E143/100*Iout_max, min_I*EXP(O143*rr/100))</f>
        <v>3.3000000000000002E-2</v>
      </c>
      <c r="G143" s="191">
        <f t="shared" si="252"/>
        <v>3.3000000000000002E-2</v>
      </c>
      <c r="H143" s="191">
        <f t="shared" si="253"/>
        <v>0.66</v>
      </c>
      <c r="I143" s="191">
        <f t="shared" si="254"/>
        <v>0.52800000000000002</v>
      </c>
      <c r="J143" s="472">
        <f t="shared" si="186"/>
        <v>9</v>
      </c>
      <c r="K143" s="386">
        <f t="shared" si="187"/>
        <v>20.32</v>
      </c>
      <c r="L143" s="386">
        <f t="shared" si="188"/>
        <v>29.32</v>
      </c>
      <c r="M143" s="386"/>
      <c r="N143" s="191">
        <f t="shared" si="189"/>
        <v>0.69304229195088674</v>
      </c>
      <c r="O143" s="152">
        <f t="shared" si="255"/>
        <v>1.1695088676671213</v>
      </c>
      <c r="P143" s="152">
        <f t="shared" si="256"/>
        <v>1.6840927694406547</v>
      </c>
      <c r="Q143" s="191">
        <f t="shared" si="192"/>
        <v>5.8475443383356064E-2</v>
      </c>
      <c r="R143" s="191">
        <f t="shared" si="257"/>
        <v>7.3094304229195078E-2</v>
      </c>
      <c r="S143" s="191">
        <f t="shared" si="258"/>
        <v>20</v>
      </c>
      <c r="T143" s="191">
        <f t="shared" si="259"/>
        <v>0.42325459317585312</v>
      </c>
      <c r="U143" s="191">
        <f t="shared" si="196"/>
        <v>7.0542432195975513</v>
      </c>
      <c r="V143" s="191">
        <f t="shared" si="197"/>
        <v>3.1244187488374981</v>
      </c>
      <c r="W143" s="175">
        <f t="shared" si="198"/>
        <v>277.21691678035478</v>
      </c>
      <c r="X143" s="386">
        <f t="shared" si="199"/>
        <v>98.244740133928261</v>
      </c>
      <c r="Z143" s="191">
        <f t="shared" si="200"/>
        <v>0.14999999999999997</v>
      </c>
      <c r="AA143" s="153">
        <f t="shared" si="201"/>
        <v>1.1072834645669287</v>
      </c>
      <c r="AB143" s="153">
        <f t="shared" si="260"/>
        <v>1.2789904502046381E-2</v>
      </c>
      <c r="AC143" s="153"/>
      <c r="AD143" s="153">
        <f t="shared" si="203"/>
        <v>1.1072834645669289</v>
      </c>
      <c r="AE143" s="317">
        <f t="shared" si="261"/>
        <v>397.36888888888893</v>
      </c>
      <c r="AF143" s="463">
        <f t="shared" si="262"/>
        <v>2.3021828103683497E-2</v>
      </c>
      <c r="AH143" s="153">
        <f t="shared" si="263"/>
        <v>0.21273726250270042</v>
      </c>
      <c r="AI143" s="153">
        <f t="shared" si="264"/>
        <v>0.42325459317585312</v>
      </c>
      <c r="AJ143" s="153">
        <f t="shared" si="265"/>
        <v>1.4024108097598911</v>
      </c>
      <c r="AL143" s="317">
        <f t="shared" si="266"/>
        <v>33</v>
      </c>
      <c r="AM143" s="147">
        <f t="shared" si="267"/>
        <v>98.244740133928261</v>
      </c>
      <c r="AO143" s="147">
        <f t="shared" si="211"/>
        <v>33</v>
      </c>
      <c r="AP143" s="147">
        <f t="shared" si="212"/>
        <v>98.244740133928261</v>
      </c>
      <c r="AR143" s="5">
        <f t="shared" si="249"/>
        <v>10.178661968435048</v>
      </c>
      <c r="AS143" s="5">
        <f t="shared" si="246"/>
        <v>7.0542432195975513</v>
      </c>
      <c r="AT143" s="5">
        <f t="shared" si="247"/>
        <v>3.1244187488374964</v>
      </c>
      <c r="AU143" s="153">
        <f t="shared" si="248"/>
        <v>0.69304229195088685</v>
      </c>
      <c r="AW143" s="5">
        <f t="shared" si="216"/>
        <v>1.163950131233596</v>
      </c>
      <c r="AX143" s="5"/>
      <c r="AY143" s="5">
        <f t="shared" si="217"/>
        <v>1.4549376640419951</v>
      </c>
      <c r="AZ143" s="5"/>
      <c r="BA143" s="5">
        <f t="shared" si="218"/>
        <v>0.254582268423796</v>
      </c>
      <c r="BB143" s="5"/>
      <c r="BC143" s="5"/>
      <c r="BD143" s="153">
        <f t="shared" si="219"/>
        <v>0.20343277404334908</v>
      </c>
      <c r="BE143" s="153">
        <f t="shared" si="220"/>
        <v>0.13538804720695741</v>
      </c>
      <c r="BF143" s="153">
        <f t="shared" si="221"/>
        <v>0.13485711368849876</v>
      </c>
      <c r="BG143" s="153"/>
      <c r="BH143" s="463">
        <f t="shared" si="222"/>
        <v>1.4484712744240312E-2</v>
      </c>
      <c r="BI143" s="463">
        <f t="shared" si="223"/>
        <v>6.0960000000000016E-3</v>
      </c>
      <c r="BJ143" s="463">
        <f t="shared" si="224"/>
        <v>1.2280592516741031E-3</v>
      </c>
      <c r="BK143" s="463">
        <f t="shared" si="225"/>
        <v>4.2228654545454552E-3</v>
      </c>
      <c r="BL143">
        <f t="shared" si="226"/>
        <v>2.6099999999999999E-3</v>
      </c>
      <c r="BM143">
        <f t="shared" si="268"/>
        <v>9.8244740133928265E-7</v>
      </c>
      <c r="BN143">
        <f t="shared" si="269"/>
        <v>3.0680046379379537E-2</v>
      </c>
      <c r="BO143" s="147">
        <f t="shared" si="229"/>
        <v>28.641637450459871</v>
      </c>
      <c r="BP143" s="153">
        <f t="shared" si="230"/>
        <v>1.3200000000000002E-2</v>
      </c>
      <c r="BQ143" s="153">
        <f t="shared" si="231"/>
        <v>1.3200000000000002E-2</v>
      </c>
      <c r="BR143" s="463"/>
      <c r="BT143" s="147">
        <f t="shared" si="232"/>
        <v>26.400000000000002</v>
      </c>
      <c r="BU143" s="463">
        <f t="shared" si="233"/>
        <v>3.3107914843977862E-2</v>
      </c>
      <c r="BV143" s="463">
        <f t="shared" si="234"/>
        <v>1.459061896790461E-2</v>
      </c>
      <c r="BW143" s="463">
        <f t="shared" si="235"/>
        <v>9.0932205561963407E-4</v>
      </c>
      <c r="BX143" s="463">
        <f t="shared" si="236"/>
        <v>0</v>
      </c>
      <c r="BY143" s="463">
        <f t="shared" si="180"/>
        <v>5.4653325047328789E-2</v>
      </c>
      <c r="BZ143" s="463">
        <f t="shared" si="250"/>
        <v>4.8607855867502103E-2</v>
      </c>
      <c r="CA143" s="549">
        <f t="shared" si="270"/>
        <v>2.640000000000001E-2</v>
      </c>
      <c r="CB143" s="147">
        <f t="shared" si="238"/>
        <v>178.26903678233299</v>
      </c>
      <c r="CC143" s="153">
        <f t="shared" si="251"/>
        <v>0.13813337142670834</v>
      </c>
      <c r="CD143" s="5">
        <f t="shared" si="239"/>
        <v>1.1880000000000002</v>
      </c>
      <c r="CE143" s="153">
        <f t="shared" si="240"/>
        <v>0.89583749688909586</v>
      </c>
      <c r="CF143" s="5">
        <f t="shared" si="241"/>
        <v>89.583749688909592</v>
      </c>
      <c r="CG143">
        <f t="shared" si="242"/>
        <v>33</v>
      </c>
      <c r="CI143" s="59">
        <f t="shared" si="271"/>
        <v>-50</v>
      </c>
      <c r="CJ143">
        <f t="shared" si="272"/>
        <v>-50</v>
      </c>
    </row>
    <row r="144" spans="5:88" x14ac:dyDescent="0.25">
      <c r="E144" s="150">
        <v>34</v>
      </c>
      <c r="F144" s="191">
        <f t="shared" si="273"/>
        <v>3.4000000000000002E-2</v>
      </c>
      <c r="G144" s="191">
        <f t="shared" si="252"/>
        <v>3.4000000000000002E-2</v>
      </c>
      <c r="H144" s="191">
        <f t="shared" si="253"/>
        <v>0.68</v>
      </c>
      <c r="I144" s="191">
        <f t="shared" si="254"/>
        <v>0.54400000000000004</v>
      </c>
      <c r="J144" s="472">
        <f t="shared" si="186"/>
        <v>9</v>
      </c>
      <c r="K144" s="386">
        <f t="shared" si="187"/>
        <v>20.32</v>
      </c>
      <c r="L144" s="386">
        <f t="shared" si="188"/>
        <v>29.32</v>
      </c>
      <c r="M144" s="386"/>
      <c r="N144" s="191">
        <f t="shared" si="189"/>
        <v>0.69304229195088674</v>
      </c>
      <c r="O144" s="152">
        <f t="shared" si="255"/>
        <v>1.1695088676671213</v>
      </c>
      <c r="P144" s="152">
        <f t="shared" si="256"/>
        <v>1.6840927694406547</v>
      </c>
      <c r="Q144" s="191">
        <f t="shared" si="192"/>
        <v>5.8475443383356064E-2</v>
      </c>
      <c r="R144" s="191">
        <f t="shared" si="257"/>
        <v>7.3094304229195078E-2</v>
      </c>
      <c r="S144" s="191">
        <f t="shared" si="258"/>
        <v>20</v>
      </c>
      <c r="T144" s="191">
        <f t="shared" si="259"/>
        <v>0.43608048993875775</v>
      </c>
      <c r="U144" s="191">
        <f t="shared" si="196"/>
        <v>7.2680081656459619</v>
      </c>
      <c r="V144" s="191">
        <f t="shared" si="197"/>
        <v>3.2190981048628768</v>
      </c>
      <c r="W144" s="175">
        <f t="shared" si="198"/>
        <v>277.21691678035478</v>
      </c>
      <c r="X144" s="386">
        <f t="shared" si="199"/>
        <v>95.355188953518592</v>
      </c>
      <c r="Z144" s="191">
        <f t="shared" si="200"/>
        <v>0.14999999999999997</v>
      </c>
      <c r="AA144" s="153">
        <f t="shared" si="201"/>
        <v>1.1072834645669287</v>
      </c>
      <c r="AB144" s="153">
        <f t="shared" si="260"/>
        <v>1.2789904502046381E-2</v>
      </c>
      <c r="AC144" s="153"/>
      <c r="AD144" s="153">
        <f t="shared" si="203"/>
        <v>1.1072834645669289</v>
      </c>
      <c r="AE144" s="317">
        <f t="shared" si="261"/>
        <v>409.41037037037046</v>
      </c>
      <c r="AF144" s="463">
        <f t="shared" si="262"/>
        <v>2.3021828103683497E-2</v>
      </c>
      <c r="AH144" s="153">
        <f t="shared" si="263"/>
        <v>0.215936498602185</v>
      </c>
      <c r="AI144" s="153">
        <f t="shared" si="264"/>
        <v>0.43608048993875775</v>
      </c>
      <c r="AJ144" s="153">
        <f t="shared" si="265"/>
        <v>1.4119114740287095</v>
      </c>
      <c r="AL144" s="317">
        <f t="shared" si="266"/>
        <v>34</v>
      </c>
      <c r="AM144" s="147">
        <f t="shared" si="267"/>
        <v>95.355188953518592</v>
      </c>
      <c r="AO144" s="147">
        <f t="shared" si="211"/>
        <v>34</v>
      </c>
      <c r="AP144" s="147">
        <f t="shared" si="212"/>
        <v>95.355188953518592</v>
      </c>
      <c r="AR144" s="5">
        <f t="shared" si="249"/>
        <v>10.487106270508839</v>
      </c>
      <c r="AS144" s="5">
        <f t="shared" si="246"/>
        <v>7.2680081656459619</v>
      </c>
      <c r="AT144" s="5">
        <f t="shared" si="247"/>
        <v>3.2190981048628773</v>
      </c>
      <c r="AU144" s="153">
        <f t="shared" si="248"/>
        <v>0.69304229195088674</v>
      </c>
      <c r="AW144" s="5">
        <f t="shared" si="216"/>
        <v>1.2355613881598135</v>
      </c>
      <c r="AX144" s="5"/>
      <c r="AY144" s="5">
        <f t="shared" si="217"/>
        <v>1.5444517351997671</v>
      </c>
      <c r="AZ144" s="5"/>
      <c r="BA144" s="5">
        <f t="shared" si="218"/>
        <v>0.27024527300083412</v>
      </c>
      <c r="BB144" s="5"/>
      <c r="BC144" s="5"/>
      <c r="BD144" s="153">
        <f t="shared" si="219"/>
        <v>0.20959740355981418</v>
      </c>
      <c r="BE144" s="153">
        <f t="shared" si="220"/>
        <v>0.13949071530413795</v>
      </c>
      <c r="BF144" s="153">
        <f t="shared" si="221"/>
        <v>0.13894369289118055</v>
      </c>
      <c r="BG144" s="153"/>
      <c r="BH144" s="463">
        <f t="shared" si="222"/>
        <v>1.5375875052655462E-2</v>
      </c>
      <c r="BI144" s="463">
        <f t="shared" si="223"/>
        <v>6.0960000000000016E-3</v>
      </c>
      <c r="BJ144" s="463">
        <f t="shared" si="224"/>
        <v>1.1919398619189823E-3</v>
      </c>
      <c r="BK144" s="463">
        <f t="shared" si="225"/>
        <v>4.0986635294117651E-3</v>
      </c>
      <c r="BL144">
        <f t="shared" si="226"/>
        <v>2.6099999999999999E-3</v>
      </c>
      <c r="BM144">
        <f t="shared" si="268"/>
        <v>9.5355188953518594E-7</v>
      </c>
      <c r="BN144">
        <f t="shared" si="269"/>
        <v>3.1538645501271098E-2</v>
      </c>
      <c r="BO144" s="147">
        <f t="shared" si="229"/>
        <v>29.372478443986218</v>
      </c>
      <c r="BP144" s="153">
        <f t="shared" si="230"/>
        <v>1.3600000000000001E-2</v>
      </c>
      <c r="BQ144" s="153">
        <f t="shared" si="231"/>
        <v>1.3600000000000001E-2</v>
      </c>
      <c r="BR144" s="463"/>
      <c r="BT144" s="147">
        <f t="shared" si="232"/>
        <v>27.200000000000003</v>
      </c>
      <c r="BU144" s="463">
        <f t="shared" si="233"/>
        <v>3.5144857263212488E-2</v>
      </c>
      <c r="BV144" s="463">
        <f t="shared" si="234"/>
        <v>1.5488297086223813E-2</v>
      </c>
      <c r="BW144" s="463">
        <f t="shared" si="235"/>
        <v>9.6526748971193497E-4</v>
      </c>
      <c r="BX144" s="463">
        <f t="shared" si="236"/>
        <v>0</v>
      </c>
      <c r="BY144" s="463">
        <f t="shared" si="180"/>
        <v>5.8029772032370495E-2</v>
      </c>
      <c r="BZ144" s="463">
        <f t="shared" si="250"/>
        <v>5.1598421839148235E-2</v>
      </c>
      <c r="CA144" s="549">
        <f t="shared" si="270"/>
        <v>2.7200000000000009E-2</v>
      </c>
      <c r="CB144" s="147">
        <f t="shared" si="238"/>
        <v>188.42661571066697</v>
      </c>
      <c r="CC144" s="153">
        <f t="shared" si="251"/>
        <v>0.14396841753364159</v>
      </c>
      <c r="CD144" s="5">
        <f t="shared" si="239"/>
        <v>1.2240000000000002</v>
      </c>
      <c r="CE144" s="153">
        <f t="shared" si="240"/>
        <v>0.89475749901214297</v>
      </c>
      <c r="CF144" s="5">
        <f t="shared" si="241"/>
        <v>89.4757499012143</v>
      </c>
      <c r="CG144">
        <f t="shared" si="242"/>
        <v>34</v>
      </c>
      <c r="CI144" s="59">
        <f t="shared" si="271"/>
        <v>-50</v>
      </c>
      <c r="CJ144">
        <f t="shared" si="272"/>
        <v>-50</v>
      </c>
    </row>
    <row r="145" spans="5:88" x14ac:dyDescent="0.25">
      <c r="E145" s="150">
        <v>35</v>
      </c>
      <c r="F145" s="191">
        <f t="shared" si="273"/>
        <v>3.4999999999999996E-2</v>
      </c>
      <c r="G145" s="191">
        <f t="shared" si="252"/>
        <v>3.4999999999999996E-2</v>
      </c>
      <c r="H145" s="191">
        <f t="shared" si="253"/>
        <v>0.7</v>
      </c>
      <c r="I145" s="191">
        <f t="shared" si="254"/>
        <v>0.55999999999999994</v>
      </c>
      <c r="J145" s="472">
        <f t="shared" si="186"/>
        <v>9</v>
      </c>
      <c r="K145" s="386">
        <f t="shared" si="187"/>
        <v>20.32</v>
      </c>
      <c r="L145" s="386">
        <f t="shared" si="188"/>
        <v>29.32</v>
      </c>
      <c r="M145" s="386"/>
      <c r="N145" s="191">
        <f t="shared" si="189"/>
        <v>0.69304229195088674</v>
      </c>
      <c r="O145" s="152">
        <f t="shared" si="255"/>
        <v>1.1695088676671213</v>
      </c>
      <c r="P145" s="152">
        <f t="shared" si="256"/>
        <v>1.6840927694406547</v>
      </c>
      <c r="Q145" s="191">
        <f t="shared" si="192"/>
        <v>5.8475443383356064E-2</v>
      </c>
      <c r="R145" s="191">
        <f t="shared" si="257"/>
        <v>7.3094304229195078E-2</v>
      </c>
      <c r="S145" s="191">
        <f t="shared" si="258"/>
        <v>20</v>
      </c>
      <c r="T145" s="191">
        <f t="shared" si="259"/>
        <v>0.44890638670166227</v>
      </c>
      <c r="U145" s="191">
        <f t="shared" si="196"/>
        <v>7.4817731116943706</v>
      </c>
      <c r="V145" s="191">
        <f t="shared" si="197"/>
        <v>3.3137774608882551</v>
      </c>
      <c r="W145" s="175">
        <f t="shared" si="198"/>
        <v>277.21691678035478</v>
      </c>
      <c r="X145" s="386">
        <f t="shared" si="199"/>
        <v>92.630754983418086</v>
      </c>
      <c r="Z145" s="191">
        <f t="shared" si="200"/>
        <v>0.14999999999999997</v>
      </c>
      <c r="AA145" s="153">
        <f t="shared" si="201"/>
        <v>1.1072834645669287</v>
      </c>
      <c r="AB145" s="153">
        <f t="shared" si="260"/>
        <v>1.2789904502046381E-2</v>
      </c>
      <c r="AC145" s="153"/>
      <c r="AD145" s="153">
        <f t="shared" si="203"/>
        <v>1.1072834645669289</v>
      </c>
      <c r="AE145" s="317">
        <f t="shared" si="261"/>
        <v>421.45185185185187</v>
      </c>
      <c r="AF145" s="463">
        <f t="shared" si="262"/>
        <v>2.3021828103683497E-2</v>
      </c>
      <c r="AH145" s="153">
        <f t="shared" si="263"/>
        <v>0.21908902300206645</v>
      </c>
      <c r="AI145" s="153">
        <f t="shared" si="264"/>
        <v>0.44890638670166227</v>
      </c>
      <c r="AJ145" s="153">
        <f t="shared" si="265"/>
        <v>1.4214121382975275</v>
      </c>
      <c r="AL145" s="317">
        <f t="shared" si="266"/>
        <v>34.999999999999993</v>
      </c>
      <c r="AM145" s="147">
        <f t="shared" si="267"/>
        <v>92.630754983418086</v>
      </c>
      <c r="AO145" s="147">
        <f t="shared" si="211"/>
        <v>34.999999999999993</v>
      </c>
      <c r="AP145" s="147">
        <f t="shared" si="212"/>
        <v>92.630754983418086</v>
      </c>
      <c r="AR145" s="5">
        <f t="shared" si="249"/>
        <v>10.795550572582625</v>
      </c>
      <c r="AS145" s="5">
        <f t="shared" si="246"/>
        <v>7.4817731116943706</v>
      </c>
      <c r="AT145" s="5">
        <f t="shared" si="247"/>
        <v>3.3137774608882546</v>
      </c>
      <c r="AU145" s="153">
        <f t="shared" si="248"/>
        <v>0.69304229195088674</v>
      </c>
      <c r="AW145" s="5">
        <f t="shared" si="216"/>
        <v>1.3093102945465145</v>
      </c>
      <c r="AX145" s="5"/>
      <c r="AY145" s="5">
        <f t="shared" si="217"/>
        <v>1.6366378681831433</v>
      </c>
      <c r="AZ145" s="5"/>
      <c r="BA145" s="5">
        <f t="shared" si="218"/>
        <v>0.28637582995330596</v>
      </c>
      <c r="BB145" s="5"/>
      <c r="BC145" s="5"/>
      <c r="BD145" s="153">
        <f t="shared" si="219"/>
        <v>0.21576203307627922</v>
      </c>
      <c r="BE145" s="153">
        <f t="shared" si="220"/>
        <v>0.14359338340131844</v>
      </c>
      <c r="BF145" s="153">
        <f t="shared" si="221"/>
        <v>0.14303027209386229</v>
      </c>
      <c r="BG145" s="153"/>
      <c r="BH145" s="463">
        <f t="shared" si="222"/>
        <v>1.6293639221023292E-2</v>
      </c>
      <c r="BI145" s="463">
        <f t="shared" si="223"/>
        <v>6.0959999999999999E-3</v>
      </c>
      <c r="BJ145" s="463">
        <f t="shared" si="224"/>
        <v>1.157884437292726E-3</v>
      </c>
      <c r="BK145" s="463">
        <f t="shared" si="225"/>
        <v>3.9815588571428581E-3</v>
      </c>
      <c r="BL145">
        <f t="shared" si="226"/>
        <v>2.6099999999999999E-3</v>
      </c>
      <c r="BM145">
        <f t="shared" si="268"/>
        <v>9.2630754983418091E-7</v>
      </c>
      <c r="BN145">
        <f t="shared" si="269"/>
        <v>3.2437161949759978E-2</v>
      </c>
      <c r="BO145" s="147">
        <f t="shared" si="229"/>
        <v>30.139082515458881</v>
      </c>
      <c r="BP145" s="153">
        <f t="shared" si="230"/>
        <v>1.3999999999999999E-2</v>
      </c>
      <c r="BQ145" s="153">
        <f t="shared" si="231"/>
        <v>1.3999999999999999E-2</v>
      </c>
      <c r="BR145" s="463"/>
      <c r="BT145" s="147">
        <f t="shared" si="232"/>
        <v>27.999999999999996</v>
      </c>
      <c r="BU145" s="463">
        <f t="shared" si="233"/>
        <v>3.7242603933767528E-2</v>
      </c>
      <c r="BV145" s="463">
        <f t="shared" si="234"/>
        <v>1.6412771566283877E-2</v>
      </c>
      <c r="BW145" s="463">
        <f t="shared" si="235"/>
        <v>1.0228829367622142E-3</v>
      </c>
      <c r="BX145" s="463">
        <f t="shared" si="236"/>
        <v>0</v>
      </c>
      <c r="BY145" s="463">
        <f t="shared" si="180"/>
        <v>6.150870455674063E-2</v>
      </c>
      <c r="BZ145" s="463">
        <f t="shared" si="250"/>
        <v>5.467825843681362E-2</v>
      </c>
      <c r="CA145" s="549">
        <f t="shared" si="270"/>
        <v>2.8000000000000004E-2</v>
      </c>
      <c r="CB145" s="147">
        <f t="shared" si="238"/>
        <v>198.86522143036785</v>
      </c>
      <c r="CC145" s="153">
        <f t="shared" si="251"/>
        <v>0.1499458665065006</v>
      </c>
      <c r="CD145" s="5">
        <f t="shared" si="239"/>
        <v>1.2599999999999998</v>
      </c>
      <c r="CE145" s="153">
        <f t="shared" si="240"/>
        <v>0.89365133082872916</v>
      </c>
      <c r="CF145" s="5">
        <f t="shared" si="241"/>
        <v>89.365133082872916</v>
      </c>
      <c r="CG145">
        <f t="shared" si="242"/>
        <v>34.999999999999993</v>
      </c>
      <c r="CI145" s="59">
        <f t="shared" si="271"/>
        <v>-50</v>
      </c>
      <c r="CJ145">
        <f t="shared" si="272"/>
        <v>-50</v>
      </c>
    </row>
    <row r="146" spans="5:88" x14ac:dyDescent="0.25">
      <c r="E146" s="150">
        <v>36</v>
      </c>
      <c r="F146" s="191">
        <f t="shared" si="273"/>
        <v>3.5999999999999997E-2</v>
      </c>
      <c r="G146" s="191">
        <f t="shared" si="252"/>
        <v>3.5999999999999997E-2</v>
      </c>
      <c r="H146" s="191">
        <f t="shared" si="253"/>
        <v>0.72</v>
      </c>
      <c r="I146" s="191">
        <f t="shared" si="254"/>
        <v>0.57599999999999996</v>
      </c>
      <c r="J146" s="472">
        <f t="shared" si="186"/>
        <v>9</v>
      </c>
      <c r="K146" s="386">
        <f t="shared" si="187"/>
        <v>20.32</v>
      </c>
      <c r="L146" s="386">
        <f t="shared" si="188"/>
        <v>29.32</v>
      </c>
      <c r="M146" s="386"/>
      <c r="N146" s="191">
        <f t="shared" si="189"/>
        <v>0.69304229195088674</v>
      </c>
      <c r="O146" s="152">
        <f t="shared" si="255"/>
        <v>1.1695088676671213</v>
      </c>
      <c r="P146" s="152">
        <f t="shared" si="256"/>
        <v>1.6840927694406547</v>
      </c>
      <c r="Q146" s="191">
        <f t="shared" si="192"/>
        <v>5.8475443383356064E-2</v>
      </c>
      <c r="R146" s="191">
        <f t="shared" si="257"/>
        <v>7.3094304229195078E-2</v>
      </c>
      <c r="S146" s="191">
        <f t="shared" si="258"/>
        <v>20</v>
      </c>
      <c r="T146" s="191">
        <f t="shared" si="259"/>
        <v>0.46173228346456691</v>
      </c>
      <c r="U146" s="191">
        <f t="shared" si="196"/>
        <v>7.6955380577427812</v>
      </c>
      <c r="V146" s="191">
        <f t="shared" si="197"/>
        <v>3.4084568169136338</v>
      </c>
      <c r="W146" s="175">
        <f t="shared" si="198"/>
        <v>277.21691678035478</v>
      </c>
      <c r="X146" s="386">
        <f t="shared" si="199"/>
        <v>90.057678456100916</v>
      </c>
      <c r="Z146" s="191">
        <f t="shared" si="200"/>
        <v>0.14999999999999997</v>
      </c>
      <c r="AA146" s="153">
        <f t="shared" si="201"/>
        <v>1.1072834645669287</v>
      </c>
      <c r="AB146" s="153">
        <f t="shared" si="260"/>
        <v>1.2789904502046381E-2</v>
      </c>
      <c r="AC146" s="153"/>
      <c r="AD146" s="153">
        <f t="shared" si="203"/>
        <v>1.1072834645669289</v>
      </c>
      <c r="AE146" s="317">
        <f t="shared" si="261"/>
        <v>433.49333333333334</v>
      </c>
      <c r="AF146" s="463">
        <f t="shared" si="262"/>
        <v>2.3021828103683497E-2</v>
      </c>
      <c r="AH146" s="153">
        <f t="shared" si="263"/>
        <v>0.22219682394541235</v>
      </c>
      <c r="AI146" s="153">
        <f t="shared" si="264"/>
        <v>0.46173228346456691</v>
      </c>
      <c r="AJ146" s="153">
        <f t="shared" si="265"/>
        <v>1.4309128025663458</v>
      </c>
      <c r="AL146" s="317">
        <f t="shared" si="266"/>
        <v>36</v>
      </c>
      <c r="AM146" s="147">
        <f t="shared" si="267"/>
        <v>90.057678456100916</v>
      </c>
      <c r="AO146" s="147">
        <f t="shared" si="211"/>
        <v>36</v>
      </c>
      <c r="AP146" s="147">
        <f t="shared" si="212"/>
        <v>90.057678456100916</v>
      </c>
      <c r="AR146" s="5">
        <f t="shared" si="249"/>
        <v>11.103994874656413</v>
      </c>
      <c r="AS146" s="5">
        <f t="shared" si="246"/>
        <v>7.6955380577427812</v>
      </c>
      <c r="AT146" s="5">
        <f t="shared" si="247"/>
        <v>3.408456816913632</v>
      </c>
      <c r="AU146" s="153">
        <f t="shared" si="248"/>
        <v>0.69304229195088685</v>
      </c>
      <c r="AW146" s="5">
        <f t="shared" si="216"/>
        <v>1.3851968503937004</v>
      </c>
      <c r="AX146" s="5"/>
      <c r="AY146" s="5">
        <f t="shared" si="217"/>
        <v>1.7314960629921254</v>
      </c>
      <c r="AZ146" s="5"/>
      <c r="BA146" s="5">
        <f t="shared" si="218"/>
        <v>0.30297393928121169</v>
      </c>
      <c r="BB146" s="5"/>
      <c r="BC146" s="5"/>
      <c r="BD146" s="153">
        <f t="shared" si="219"/>
        <v>0.22192666259274438</v>
      </c>
      <c r="BE146" s="153">
        <f t="shared" si="220"/>
        <v>0.14769605149849893</v>
      </c>
      <c r="BF146" s="153">
        <f t="shared" si="221"/>
        <v>0.14711685129654403</v>
      </c>
      <c r="BG146" s="153"/>
      <c r="BH146" s="463">
        <f t="shared" si="222"/>
        <v>1.7238005249343831E-2</v>
      </c>
      <c r="BI146" s="463">
        <f t="shared" si="223"/>
        <v>6.0959999999999999E-3</v>
      </c>
      <c r="BJ146" s="463">
        <f t="shared" si="224"/>
        <v>1.1257209807012615E-3</v>
      </c>
      <c r="BK146" s="463">
        <f t="shared" si="225"/>
        <v>3.8709600000000014E-3</v>
      </c>
      <c r="BL146">
        <f t="shared" si="226"/>
        <v>2.6099999999999999E-3</v>
      </c>
      <c r="BM146">
        <f t="shared" si="268"/>
        <v>9.0057678456100915E-7</v>
      </c>
      <c r="BN146">
        <f t="shared" si="269"/>
        <v>3.3374863330273855E-2</v>
      </c>
      <c r="BO146" s="147">
        <f t="shared" si="229"/>
        <v>30.940686230045095</v>
      </c>
      <c r="BP146" s="153">
        <f t="shared" si="230"/>
        <v>1.44E-2</v>
      </c>
      <c r="BQ146" s="153">
        <f t="shared" si="231"/>
        <v>1.44E-2</v>
      </c>
      <c r="BR146" s="463"/>
      <c r="BT146" s="147">
        <f t="shared" si="232"/>
        <v>28.8</v>
      </c>
      <c r="BU146" s="463">
        <f t="shared" si="233"/>
        <v>3.940115485564305E-2</v>
      </c>
      <c r="BV146" s="463">
        <f t="shared" si="234"/>
        <v>1.7364042408084809E-2</v>
      </c>
      <c r="BW146" s="463">
        <f t="shared" si="235"/>
        <v>1.0821683967704725E-3</v>
      </c>
      <c r="BX146" s="463">
        <f t="shared" si="236"/>
        <v>0</v>
      </c>
      <c r="BY146" s="463">
        <f t="shared" si="180"/>
        <v>6.5090273608427632E-2</v>
      </c>
      <c r="BZ146" s="463">
        <f t="shared" si="250"/>
        <v>5.7847365660498334E-2</v>
      </c>
      <c r="CA146" s="549">
        <f t="shared" si="270"/>
        <v>2.8800000000000003E-2</v>
      </c>
      <c r="CB146" s="147">
        <f t="shared" si="238"/>
        <v>209.58500492942429</v>
      </c>
      <c r="CC146" s="153">
        <f t="shared" si="251"/>
        <v>0.15606513693870147</v>
      </c>
      <c r="CD146" s="5">
        <f t="shared" si="239"/>
        <v>1.2959999999999998</v>
      </c>
      <c r="CE146" s="153">
        <f t="shared" si="240"/>
        <v>0.89252194480219815</v>
      </c>
      <c r="CF146" s="5">
        <f t="shared" si="241"/>
        <v>89.252194480219813</v>
      </c>
      <c r="CG146">
        <f t="shared" si="242"/>
        <v>35.999999999999993</v>
      </c>
      <c r="CI146" s="59">
        <f t="shared" si="271"/>
        <v>-50</v>
      </c>
      <c r="CJ146">
        <f t="shared" si="272"/>
        <v>-50</v>
      </c>
    </row>
    <row r="147" spans="5:88" x14ac:dyDescent="0.25">
      <c r="E147" s="150">
        <v>37</v>
      </c>
      <c r="F147" s="191">
        <f t="shared" si="273"/>
        <v>3.6999999999999998E-2</v>
      </c>
      <c r="G147" s="191">
        <f t="shared" si="252"/>
        <v>3.6999999999999998E-2</v>
      </c>
      <c r="H147" s="191">
        <f t="shared" si="253"/>
        <v>0.74</v>
      </c>
      <c r="I147" s="191">
        <f t="shared" si="254"/>
        <v>0.59199999999999997</v>
      </c>
      <c r="J147" s="472">
        <f t="shared" si="186"/>
        <v>9</v>
      </c>
      <c r="K147" s="386">
        <f t="shared" si="187"/>
        <v>20.32</v>
      </c>
      <c r="L147" s="386">
        <f t="shared" si="188"/>
        <v>29.32</v>
      </c>
      <c r="M147" s="386"/>
      <c r="N147" s="191">
        <f t="shared" si="189"/>
        <v>0.69304229195088674</v>
      </c>
      <c r="O147" s="152">
        <f t="shared" si="255"/>
        <v>1.1695088676671213</v>
      </c>
      <c r="P147" s="152">
        <f t="shared" si="256"/>
        <v>1.6840927694406547</v>
      </c>
      <c r="Q147" s="191">
        <f t="shared" si="192"/>
        <v>5.8475443383356064E-2</v>
      </c>
      <c r="R147" s="191">
        <f t="shared" si="257"/>
        <v>7.3094304229195078E-2</v>
      </c>
      <c r="S147" s="191">
        <f t="shared" si="258"/>
        <v>20</v>
      </c>
      <c r="T147" s="191">
        <f t="shared" si="259"/>
        <v>0.47455818022747154</v>
      </c>
      <c r="U147" s="191">
        <f t="shared" si="196"/>
        <v>7.9093030037911909</v>
      </c>
      <c r="V147" s="191">
        <f t="shared" si="197"/>
        <v>3.5031361729390116</v>
      </c>
      <c r="W147" s="175">
        <f t="shared" si="198"/>
        <v>277.21691678035478</v>
      </c>
      <c r="X147" s="386">
        <f t="shared" si="199"/>
        <v>87.62368714647657</v>
      </c>
      <c r="Z147" s="191">
        <f t="shared" si="200"/>
        <v>0.14999999999999997</v>
      </c>
      <c r="AA147" s="153">
        <f t="shared" si="201"/>
        <v>1.1072834645669287</v>
      </c>
      <c r="AB147" s="153">
        <f t="shared" si="260"/>
        <v>1.2789904502046381E-2</v>
      </c>
      <c r="AC147" s="153"/>
      <c r="AD147" s="153">
        <f t="shared" si="203"/>
        <v>1.1072834645669289</v>
      </c>
      <c r="AE147" s="317">
        <f t="shared" si="261"/>
        <v>445.53481481481481</v>
      </c>
      <c r="AF147" s="463">
        <f t="shared" si="262"/>
        <v>2.3021828103683497E-2</v>
      </c>
      <c r="AH147" s="153">
        <f t="shared" si="263"/>
        <v>0.22526175250773742</v>
      </c>
      <c r="AI147" s="153">
        <f t="shared" si="264"/>
        <v>0.47455818022747154</v>
      </c>
      <c r="AJ147" s="153">
        <f t="shared" si="265"/>
        <v>1.440413466835164</v>
      </c>
      <c r="AL147" s="317">
        <f t="shared" si="266"/>
        <v>37</v>
      </c>
      <c r="AM147" s="147">
        <f t="shared" si="267"/>
        <v>87.62368714647657</v>
      </c>
      <c r="AO147" s="147">
        <f t="shared" si="211"/>
        <v>37</v>
      </c>
      <c r="AP147" s="147">
        <f t="shared" si="212"/>
        <v>87.62368714647657</v>
      </c>
      <c r="AR147" s="5">
        <f t="shared" si="249"/>
        <v>11.412439176730203</v>
      </c>
      <c r="AS147" s="5">
        <f t="shared" si="246"/>
        <v>7.9093030037911909</v>
      </c>
      <c r="AT147" s="5">
        <f t="shared" si="247"/>
        <v>3.503136172939012</v>
      </c>
      <c r="AU147" s="153">
        <f t="shared" si="248"/>
        <v>0.69304229195088674</v>
      </c>
      <c r="AW147" s="5">
        <f t="shared" si="216"/>
        <v>1.4632210557013703</v>
      </c>
      <c r="AX147" s="5"/>
      <c r="AY147" s="5">
        <f t="shared" si="217"/>
        <v>1.8290263196267127</v>
      </c>
      <c r="AZ147" s="5"/>
      <c r="BA147" s="5">
        <f t="shared" si="218"/>
        <v>0.3200396009845517</v>
      </c>
      <c r="BB147" s="5"/>
      <c r="BC147" s="5"/>
      <c r="BD147" s="153">
        <f t="shared" si="219"/>
        <v>0.22809129210920948</v>
      </c>
      <c r="BE147" s="153">
        <f t="shared" si="220"/>
        <v>0.1517987195956795</v>
      </c>
      <c r="BF147" s="153">
        <f t="shared" si="221"/>
        <v>0.15120343049922588</v>
      </c>
      <c r="BG147" s="153"/>
      <c r="BH147" s="463">
        <f t="shared" si="222"/>
        <v>1.8208973137617053E-2</v>
      </c>
      <c r="BI147" s="463">
        <f t="shared" si="223"/>
        <v>6.0959999999999999E-3</v>
      </c>
      <c r="BJ147" s="463">
        <f t="shared" si="224"/>
        <v>1.0952960893309571E-3</v>
      </c>
      <c r="BK147" s="463">
        <f t="shared" si="225"/>
        <v>3.7663394594594606E-3</v>
      </c>
      <c r="BL147">
        <f t="shared" si="226"/>
        <v>2.6099999999999999E-3</v>
      </c>
      <c r="BM147">
        <f t="shared" si="268"/>
        <v>8.762368714647657E-7</v>
      </c>
      <c r="BN147">
        <f t="shared" si="269"/>
        <v>3.4351100727745873E-2</v>
      </c>
      <c r="BO147" s="147">
        <f t="shared" si="229"/>
        <v>31.776608686407471</v>
      </c>
      <c r="BP147" s="153">
        <f t="shared" si="230"/>
        <v>1.4800000000000001E-2</v>
      </c>
      <c r="BQ147" s="153">
        <f t="shared" si="231"/>
        <v>1.4800000000000001E-2</v>
      </c>
      <c r="BR147" s="463"/>
      <c r="BT147" s="147">
        <f t="shared" si="232"/>
        <v>29.6</v>
      </c>
      <c r="BU147" s="463">
        <f t="shared" si="233"/>
        <v>4.1620510028838986E-2</v>
      </c>
      <c r="BV147" s="463">
        <f t="shared" si="234"/>
        <v>1.8342109611626637E-2</v>
      </c>
      <c r="BW147" s="463">
        <f t="shared" si="235"/>
        <v>1.1431238697367115E-3</v>
      </c>
      <c r="BX147" s="463">
        <f t="shared" si="236"/>
        <v>0</v>
      </c>
      <c r="BY147" s="463">
        <f t="shared" si="180"/>
        <v>6.8774634746693764E-2</v>
      </c>
      <c r="BZ147" s="463">
        <f t="shared" si="250"/>
        <v>6.1105743510202329E-2</v>
      </c>
      <c r="CA147" s="549">
        <f t="shared" si="270"/>
        <v>2.9600000000000001E-2</v>
      </c>
      <c r="CB147" s="147">
        <f t="shared" si="238"/>
        <v>220.5861217670984</v>
      </c>
      <c r="CC147" s="153">
        <f t="shared" si="251"/>
        <v>0.16232573547443963</v>
      </c>
      <c r="CD147" s="5">
        <f t="shared" si="239"/>
        <v>1.3319999999999999</v>
      </c>
      <c r="CE147" s="153">
        <f t="shared" si="240"/>
        <v>0.89137192004332166</v>
      </c>
      <c r="CF147" s="5">
        <f t="shared" si="241"/>
        <v>89.137192004332164</v>
      </c>
      <c r="CG147">
        <f t="shared" si="242"/>
        <v>36.999999999999993</v>
      </c>
      <c r="CI147" s="59">
        <f t="shared" si="271"/>
        <v>-50</v>
      </c>
      <c r="CJ147">
        <f t="shared" si="272"/>
        <v>-50</v>
      </c>
    </row>
    <row r="148" spans="5:88" x14ac:dyDescent="0.25">
      <c r="E148" s="150">
        <v>38</v>
      </c>
      <c r="F148" s="191">
        <f t="shared" si="273"/>
        <v>3.8000000000000006E-2</v>
      </c>
      <c r="G148" s="191">
        <f t="shared" si="252"/>
        <v>3.8000000000000006E-2</v>
      </c>
      <c r="H148" s="191">
        <f t="shared" si="253"/>
        <v>0.76000000000000012</v>
      </c>
      <c r="I148" s="191">
        <f t="shared" si="254"/>
        <v>0.6080000000000001</v>
      </c>
      <c r="J148" s="472">
        <f t="shared" si="186"/>
        <v>9</v>
      </c>
      <c r="K148" s="386">
        <f t="shared" si="187"/>
        <v>20.32</v>
      </c>
      <c r="L148" s="386">
        <f t="shared" si="188"/>
        <v>29.32</v>
      </c>
      <c r="M148" s="386"/>
      <c r="N148" s="191">
        <f t="shared" si="189"/>
        <v>0.69304229195088674</v>
      </c>
      <c r="O148" s="152">
        <f t="shared" si="255"/>
        <v>1.1695088676671213</v>
      </c>
      <c r="P148" s="152">
        <f t="shared" si="256"/>
        <v>1.6840927694406547</v>
      </c>
      <c r="Q148" s="191">
        <f t="shared" si="192"/>
        <v>5.8475443383356064E-2</v>
      </c>
      <c r="R148" s="191">
        <f t="shared" si="257"/>
        <v>7.3094304229195078E-2</v>
      </c>
      <c r="S148" s="191">
        <f t="shared" si="258"/>
        <v>20</v>
      </c>
      <c r="T148" s="191">
        <f t="shared" si="259"/>
        <v>0.48738407699037634</v>
      </c>
      <c r="U148" s="191">
        <f t="shared" si="196"/>
        <v>8.123067949839605</v>
      </c>
      <c r="V148" s="191">
        <f t="shared" si="197"/>
        <v>3.5978155289643916</v>
      </c>
      <c r="W148" s="175">
        <f t="shared" si="198"/>
        <v>277.21691678035478</v>
      </c>
      <c r="X148" s="386">
        <f t="shared" si="199"/>
        <v>85.317800642621904</v>
      </c>
      <c r="Z148" s="191">
        <f t="shared" si="200"/>
        <v>0.14999999999999997</v>
      </c>
      <c r="AA148" s="153">
        <f t="shared" si="201"/>
        <v>1.1072834645669287</v>
      </c>
      <c r="AB148" s="153">
        <f t="shared" si="260"/>
        <v>1.2789904502046381E-2</v>
      </c>
      <c r="AC148" s="153"/>
      <c r="AD148" s="153">
        <f t="shared" si="203"/>
        <v>1.1072834645669289</v>
      </c>
      <c r="AE148" s="317">
        <f t="shared" si="261"/>
        <v>457.57629629629639</v>
      </c>
      <c r="AF148" s="463">
        <f t="shared" si="262"/>
        <v>2.3021828103683497E-2</v>
      </c>
      <c r="AH148" s="153">
        <f t="shared" si="263"/>
        <v>0.22828553549072209</v>
      </c>
      <c r="AI148" s="153">
        <f t="shared" si="264"/>
        <v>0.48738407699037634</v>
      </c>
      <c r="AJ148" s="153">
        <f t="shared" si="265"/>
        <v>1.4499141311039825</v>
      </c>
      <c r="AL148" s="317">
        <f t="shared" si="266"/>
        <v>38.000000000000007</v>
      </c>
      <c r="AM148" s="147">
        <f t="shared" si="267"/>
        <v>85.317800642621904</v>
      </c>
      <c r="AO148" s="147">
        <f t="shared" si="211"/>
        <v>38.000000000000007</v>
      </c>
      <c r="AP148" s="147">
        <f t="shared" si="212"/>
        <v>85.317800642621904</v>
      </c>
      <c r="AR148" s="5">
        <f t="shared" si="249"/>
        <v>11.720883478803996</v>
      </c>
      <c r="AS148" s="5">
        <f t="shared" si="246"/>
        <v>8.123067949839605</v>
      </c>
      <c r="AT148" s="5">
        <f t="shared" si="247"/>
        <v>3.5978155289643912</v>
      </c>
      <c r="AU148" s="153">
        <f t="shared" si="248"/>
        <v>0.69304229195088685</v>
      </c>
      <c r="AW148" s="5">
        <f t="shared" si="216"/>
        <v>1.5433829104695251</v>
      </c>
      <c r="AX148" s="5"/>
      <c r="AY148" s="5">
        <f t="shared" si="217"/>
        <v>1.9292286380869066</v>
      </c>
      <c r="AZ148" s="5"/>
      <c r="BA148" s="5">
        <f t="shared" si="218"/>
        <v>0.33757281506332559</v>
      </c>
      <c r="BB148" s="5"/>
      <c r="BC148" s="5"/>
      <c r="BD148" s="153">
        <f t="shared" si="219"/>
        <v>0.23425592162567471</v>
      </c>
      <c r="BE148" s="153">
        <f t="shared" si="220"/>
        <v>0.15590138769286005</v>
      </c>
      <c r="BF148" s="153">
        <f t="shared" si="221"/>
        <v>0.15529000970190765</v>
      </c>
      <c r="BG148" s="153"/>
      <c r="BH148" s="463">
        <f t="shared" si="222"/>
        <v>1.9206542885842986E-2</v>
      </c>
      <c r="BI148" s="463">
        <f t="shared" si="223"/>
        <v>6.0960000000000016E-3</v>
      </c>
      <c r="BJ148" s="463">
        <f t="shared" si="224"/>
        <v>1.0664725080327738E-3</v>
      </c>
      <c r="BK148" s="463">
        <f t="shared" si="225"/>
        <v>3.6672252631578949E-3</v>
      </c>
      <c r="BL148">
        <f t="shared" si="226"/>
        <v>2.6099999999999999E-3</v>
      </c>
      <c r="BM148">
        <f t="shared" si="268"/>
        <v>8.5317800642621903E-7</v>
      </c>
      <c r="BN148">
        <f t="shared" si="269"/>
        <v>3.5365297847382626E-2</v>
      </c>
      <c r="BO148" s="147">
        <f t="shared" si="229"/>
        <v>32.646240657033658</v>
      </c>
      <c r="BP148" s="153">
        <f t="shared" si="230"/>
        <v>1.5200000000000003E-2</v>
      </c>
      <c r="BQ148" s="153">
        <f t="shared" si="231"/>
        <v>1.5200000000000003E-2</v>
      </c>
      <c r="BR148" s="463"/>
      <c r="BT148" s="147">
        <f t="shared" si="232"/>
        <v>30.400000000000006</v>
      </c>
      <c r="BU148" s="463">
        <f t="shared" si="233"/>
        <v>4.3900669453355405E-2</v>
      </c>
      <c r="BV148" s="463">
        <f t="shared" si="234"/>
        <v>1.9346973176909327E-2</v>
      </c>
      <c r="BW148" s="463">
        <f t="shared" si="235"/>
        <v>1.2057493556609285E-3</v>
      </c>
      <c r="BX148" s="463">
        <f t="shared" si="236"/>
        <v>0</v>
      </c>
      <c r="BY148" s="463">
        <f t="shared" si="180"/>
        <v>7.2561948119067202E-2</v>
      </c>
      <c r="BZ148" s="463">
        <f t="shared" si="250"/>
        <v>6.4453391985925659E-2</v>
      </c>
      <c r="CA148" s="549">
        <f t="shared" si="270"/>
        <v>3.0400000000000014E-2</v>
      </c>
      <c r="CB148" s="147">
        <f t="shared" si="238"/>
        <v>231.86873209091854</v>
      </c>
      <c r="CC148" s="153">
        <f t="shared" si="251"/>
        <v>0.16872724596644986</v>
      </c>
      <c r="CD148" s="5">
        <f t="shared" si="239"/>
        <v>1.3680000000000003</v>
      </c>
      <c r="CE148" s="153">
        <f t="shared" si="240"/>
        <v>0.8902035176318247</v>
      </c>
      <c r="CF148" s="5">
        <f t="shared" si="241"/>
        <v>89.020351763182475</v>
      </c>
      <c r="CG148">
        <f t="shared" si="242"/>
        <v>38.000000000000007</v>
      </c>
      <c r="CI148" s="59">
        <f t="shared" si="271"/>
        <v>-50</v>
      </c>
      <c r="CJ148">
        <f t="shared" si="272"/>
        <v>-50</v>
      </c>
    </row>
    <row r="149" spans="5:88" x14ac:dyDescent="0.25">
      <c r="E149" s="150">
        <v>39</v>
      </c>
      <c r="F149" s="191">
        <f t="shared" si="273"/>
        <v>3.9000000000000007E-2</v>
      </c>
      <c r="G149" s="191">
        <f t="shared" si="252"/>
        <v>3.9000000000000007E-2</v>
      </c>
      <c r="H149" s="191">
        <f t="shared" si="253"/>
        <v>0.78000000000000014</v>
      </c>
      <c r="I149" s="191">
        <f t="shared" si="254"/>
        <v>0.62400000000000011</v>
      </c>
      <c r="J149" s="472">
        <f t="shared" si="186"/>
        <v>9</v>
      </c>
      <c r="K149" s="386">
        <f t="shared" si="187"/>
        <v>20.32</v>
      </c>
      <c r="L149" s="386">
        <f t="shared" si="188"/>
        <v>29.32</v>
      </c>
      <c r="M149" s="386"/>
      <c r="N149" s="191">
        <f t="shared" si="189"/>
        <v>0.69304229195088674</v>
      </c>
      <c r="O149" s="152">
        <f t="shared" si="255"/>
        <v>1.1695088676671213</v>
      </c>
      <c r="P149" s="152">
        <f t="shared" si="256"/>
        <v>1.6840927694406547</v>
      </c>
      <c r="Q149" s="191">
        <f t="shared" si="192"/>
        <v>5.8475443383356064E-2</v>
      </c>
      <c r="R149" s="191">
        <f t="shared" si="257"/>
        <v>7.3094304229195078E-2</v>
      </c>
      <c r="S149" s="191">
        <f t="shared" si="258"/>
        <v>20</v>
      </c>
      <c r="T149" s="191">
        <f t="shared" si="259"/>
        <v>0.50020997375328102</v>
      </c>
      <c r="U149" s="191">
        <f t="shared" si="196"/>
        <v>8.3368328958880173</v>
      </c>
      <c r="V149" s="191">
        <f t="shared" si="197"/>
        <v>3.6924948849897712</v>
      </c>
      <c r="W149" s="175">
        <f t="shared" si="198"/>
        <v>277.21691678035478</v>
      </c>
      <c r="X149" s="386">
        <f t="shared" si="199"/>
        <v>83.130164728708493</v>
      </c>
      <c r="Z149" s="191">
        <f t="shared" si="200"/>
        <v>0.14999999999999997</v>
      </c>
      <c r="AA149" s="153">
        <f t="shared" si="201"/>
        <v>1.1072834645669287</v>
      </c>
      <c r="AB149" s="153">
        <f t="shared" si="260"/>
        <v>1.2789904502046381E-2</v>
      </c>
      <c r="AC149" s="153"/>
      <c r="AD149" s="153">
        <f t="shared" si="203"/>
        <v>1.1072834645669289</v>
      </c>
      <c r="AE149" s="317">
        <f t="shared" si="261"/>
        <v>469.61777777777786</v>
      </c>
      <c r="AF149" s="463">
        <f t="shared" si="262"/>
        <v>2.3021828103683497E-2</v>
      </c>
      <c r="AH149" s="153">
        <f t="shared" si="263"/>
        <v>0.23126978679826363</v>
      </c>
      <c r="AI149" s="153">
        <f t="shared" si="264"/>
        <v>0.50020997375328102</v>
      </c>
      <c r="AJ149" s="153">
        <f t="shared" si="265"/>
        <v>1.4594147953728007</v>
      </c>
      <c r="AL149" s="317">
        <f t="shared" si="266"/>
        <v>39.000000000000007</v>
      </c>
      <c r="AM149" s="147">
        <f t="shared" si="267"/>
        <v>83.130164728708493</v>
      </c>
      <c r="AO149" s="147">
        <f t="shared" si="211"/>
        <v>39.000000000000007</v>
      </c>
      <c r="AP149" s="147">
        <f t="shared" si="212"/>
        <v>83.130164728708493</v>
      </c>
      <c r="AR149" s="5">
        <f t="shared" si="249"/>
        <v>12.029327780877789</v>
      </c>
      <c r="AS149" s="5">
        <f t="shared" si="246"/>
        <v>8.3368328958880173</v>
      </c>
      <c r="AT149" s="5">
        <f t="shared" si="247"/>
        <v>3.6924948849897721</v>
      </c>
      <c r="AU149" s="153">
        <f t="shared" si="248"/>
        <v>0.69304229195088674</v>
      </c>
      <c r="AW149" s="5">
        <f t="shared" si="216"/>
        <v>1.6256824146981637</v>
      </c>
      <c r="AX149" s="5"/>
      <c r="AY149" s="5">
        <f t="shared" si="217"/>
        <v>2.0321030183727045</v>
      </c>
      <c r="AZ149" s="5"/>
      <c r="BA149" s="5">
        <f t="shared" si="218"/>
        <v>0.35557358151753365</v>
      </c>
      <c r="BB149" s="5"/>
      <c r="BC149" s="5"/>
      <c r="BD149" s="153">
        <f t="shared" si="219"/>
        <v>0.24042055114213981</v>
      </c>
      <c r="BE149" s="153">
        <f t="shared" si="220"/>
        <v>0.16000405579004062</v>
      </c>
      <c r="BF149" s="153">
        <f t="shared" si="221"/>
        <v>0.1593765889045895</v>
      </c>
      <c r="BG149" s="153"/>
      <c r="BH149" s="463">
        <f t="shared" si="222"/>
        <v>2.0230714494021591E-2</v>
      </c>
      <c r="BI149" s="463">
        <f t="shared" si="223"/>
        <v>6.0959999999999999E-3</v>
      </c>
      <c r="BJ149" s="463">
        <f t="shared" si="224"/>
        <v>1.0391270591088562E-3</v>
      </c>
      <c r="BK149" s="463">
        <f t="shared" si="225"/>
        <v>3.573193846153845E-3</v>
      </c>
      <c r="BL149">
        <f t="shared" si="226"/>
        <v>2.6099999999999999E-3</v>
      </c>
      <c r="BM149">
        <f t="shared" si="268"/>
        <v>8.3130164728708491E-7</v>
      </c>
      <c r="BN149">
        <f t="shared" si="269"/>
        <v>3.6416941826523067E-2</v>
      </c>
      <c r="BO149" s="147">
        <f t="shared" si="229"/>
        <v>33.549035399284293</v>
      </c>
      <c r="BP149" s="153">
        <f t="shared" si="230"/>
        <v>1.5600000000000003E-2</v>
      </c>
      <c r="BQ149" s="153">
        <f t="shared" si="231"/>
        <v>1.5600000000000003E-2</v>
      </c>
      <c r="BR149" s="463"/>
      <c r="BT149" s="147">
        <f t="shared" si="232"/>
        <v>31.200000000000006</v>
      </c>
      <c r="BU149" s="463">
        <f t="shared" si="233"/>
        <v>4.6241633129192217E-2</v>
      </c>
      <c r="BV149" s="463">
        <f t="shared" si="234"/>
        <v>2.0378633103932897E-2</v>
      </c>
      <c r="BW149" s="463">
        <f t="shared" si="235"/>
        <v>1.2700448545431261E-3</v>
      </c>
      <c r="BX149" s="463">
        <f t="shared" si="236"/>
        <v>0</v>
      </c>
      <c r="BY149" s="463">
        <f t="shared" si="180"/>
        <v>7.6452378478854166E-2</v>
      </c>
      <c r="BZ149" s="463">
        <f t="shared" si="250"/>
        <v>6.7890311087668243E-2</v>
      </c>
      <c r="CA149" s="549">
        <f t="shared" si="270"/>
        <v>3.1200000000000012E-2</v>
      </c>
      <c r="CB149" s="147">
        <f t="shared" si="238"/>
        <v>243.43300065419066</v>
      </c>
      <c r="CC149" s="153">
        <f t="shared" si="251"/>
        <v>0.17526932030537723</v>
      </c>
      <c r="CD149" s="5">
        <f t="shared" si="239"/>
        <v>1.4040000000000004</v>
      </c>
      <c r="CE149" s="153">
        <f t="shared" si="240"/>
        <v>0.88901872653900094</v>
      </c>
      <c r="CF149" s="5">
        <f t="shared" si="241"/>
        <v>88.901872653900099</v>
      </c>
      <c r="CG149">
        <f t="shared" si="242"/>
        <v>39.000000000000007</v>
      </c>
      <c r="CI149" s="59">
        <f t="shared" si="271"/>
        <v>-50</v>
      </c>
      <c r="CJ149">
        <f t="shared" si="272"/>
        <v>-50</v>
      </c>
    </row>
    <row r="150" spans="5:88" x14ac:dyDescent="0.25">
      <c r="E150" s="150">
        <v>40</v>
      </c>
      <c r="F150" s="191">
        <f t="shared" si="273"/>
        <v>4.0000000000000008E-2</v>
      </c>
      <c r="G150" s="191">
        <f t="shared" si="252"/>
        <v>4.0000000000000008E-2</v>
      </c>
      <c r="H150" s="191">
        <f t="shared" si="253"/>
        <v>0.80000000000000016</v>
      </c>
      <c r="I150" s="191">
        <f t="shared" si="254"/>
        <v>0.64000000000000012</v>
      </c>
      <c r="J150" s="472">
        <f t="shared" si="186"/>
        <v>9</v>
      </c>
      <c r="K150" s="386">
        <f t="shared" si="187"/>
        <v>20.32</v>
      </c>
      <c r="L150" s="386">
        <f t="shared" si="188"/>
        <v>29.32</v>
      </c>
      <c r="M150" s="386"/>
      <c r="N150" s="191">
        <f t="shared" si="189"/>
        <v>0.69304229195088674</v>
      </c>
      <c r="O150" s="152">
        <f t="shared" si="255"/>
        <v>1.1695088676671213</v>
      </c>
      <c r="P150" s="152">
        <f t="shared" si="256"/>
        <v>1.6840927694406547</v>
      </c>
      <c r="Q150" s="191">
        <f t="shared" si="192"/>
        <v>5.8475443383356064E-2</v>
      </c>
      <c r="R150" s="191">
        <f t="shared" si="257"/>
        <v>7.3094304229195078E-2</v>
      </c>
      <c r="S150" s="191">
        <f t="shared" si="258"/>
        <v>20</v>
      </c>
      <c r="T150" s="191">
        <f t="shared" si="259"/>
        <v>0.51303587051618571</v>
      </c>
      <c r="U150" s="191">
        <f t="shared" si="196"/>
        <v>8.5505978419364279</v>
      </c>
      <c r="V150" s="191">
        <f t="shared" si="197"/>
        <v>3.7871742410151499</v>
      </c>
      <c r="W150" s="175">
        <f t="shared" si="198"/>
        <v>277.21691678035478</v>
      </c>
      <c r="X150" s="386">
        <f t="shared" si="199"/>
        <v>81.051910610490793</v>
      </c>
      <c r="Z150" s="191">
        <f t="shared" si="200"/>
        <v>0.14999999999999997</v>
      </c>
      <c r="AA150" s="153">
        <f t="shared" si="201"/>
        <v>1.1072834645669287</v>
      </c>
      <c r="AB150" s="153">
        <f t="shared" si="260"/>
        <v>1.2789904502046381E-2</v>
      </c>
      <c r="AC150" s="153"/>
      <c r="AD150" s="153">
        <f t="shared" si="203"/>
        <v>1.1072834645669289</v>
      </c>
      <c r="AE150" s="317">
        <f t="shared" si="261"/>
        <v>481.65925925925939</v>
      </c>
      <c r="AF150" s="463">
        <f t="shared" si="262"/>
        <v>2.3021828103683497E-2</v>
      </c>
      <c r="AH150" s="153">
        <f t="shared" si="263"/>
        <v>0.23421601750764801</v>
      </c>
      <c r="AI150" s="153">
        <f t="shared" si="264"/>
        <v>0.51303587051618571</v>
      </c>
      <c r="AJ150" s="153">
        <f t="shared" si="265"/>
        <v>1.468915459641619</v>
      </c>
      <c r="AL150" s="317">
        <f t="shared" si="266"/>
        <v>40.000000000000007</v>
      </c>
      <c r="AM150" s="147">
        <f t="shared" si="267"/>
        <v>81.051910610490793</v>
      </c>
      <c r="AO150" s="147">
        <f t="shared" si="211"/>
        <v>40.000000000000007</v>
      </c>
      <c r="AP150" s="147">
        <f t="shared" si="212"/>
        <v>81.051910610490793</v>
      </c>
      <c r="AR150" s="5">
        <f t="shared" si="249"/>
        <v>12.337772082951577</v>
      </c>
      <c r="AS150" s="5">
        <f t="shared" si="246"/>
        <v>8.5505978419364279</v>
      </c>
      <c r="AT150" s="5">
        <f t="shared" si="247"/>
        <v>3.7871742410151494</v>
      </c>
      <c r="AU150" s="153">
        <f t="shared" si="248"/>
        <v>0.69304229195088685</v>
      </c>
      <c r="AW150" s="5">
        <f t="shared" si="216"/>
        <v>1.7101195683872858</v>
      </c>
      <c r="AX150" s="5"/>
      <c r="AY150" s="5">
        <f t="shared" si="217"/>
        <v>2.137649460484107</v>
      </c>
      <c r="AZ150" s="5"/>
      <c r="BA150" s="5">
        <f t="shared" si="218"/>
        <v>0.37404190034717533</v>
      </c>
      <c r="BB150" s="5"/>
      <c r="BC150" s="5"/>
      <c r="BD150" s="153">
        <f t="shared" si="219"/>
        <v>0.24658518065860499</v>
      </c>
      <c r="BE150" s="153">
        <f t="shared" si="220"/>
        <v>0.16410672388722114</v>
      </c>
      <c r="BF150" s="153">
        <f t="shared" si="221"/>
        <v>0.16346316810727127</v>
      </c>
      <c r="BG150" s="153"/>
      <c r="BH150" s="463">
        <f t="shared" si="222"/>
        <v>2.1281487962152901E-2</v>
      </c>
      <c r="BI150" s="463">
        <f t="shared" si="223"/>
        <v>6.0960000000000016E-3</v>
      </c>
      <c r="BJ150" s="463">
        <f t="shared" si="224"/>
        <v>1.0131488826311348E-3</v>
      </c>
      <c r="BK150" s="463">
        <f t="shared" si="225"/>
        <v>3.4838639999999997E-3</v>
      </c>
      <c r="BL150">
        <f t="shared" si="226"/>
        <v>2.6099999999999999E-3</v>
      </c>
      <c r="BM150">
        <f t="shared" si="268"/>
        <v>8.1051910610490796E-7</v>
      </c>
      <c r="BN150">
        <f t="shared" si="269"/>
        <v>3.7505575425160795E-2</v>
      </c>
      <c r="BO150" s="147">
        <f t="shared" si="229"/>
        <v>34.484500844784037</v>
      </c>
      <c r="BP150" s="153">
        <f t="shared" si="230"/>
        <v>1.6000000000000004E-2</v>
      </c>
      <c r="BQ150" s="153">
        <f t="shared" si="231"/>
        <v>1.6000000000000004E-2</v>
      </c>
      <c r="BR150" s="463"/>
      <c r="BT150" s="147">
        <f t="shared" si="232"/>
        <v>32.000000000000007</v>
      </c>
      <c r="BU150" s="463">
        <f t="shared" si="233"/>
        <v>4.864340105634949E-2</v>
      </c>
      <c r="BV150" s="463">
        <f t="shared" si="234"/>
        <v>2.1437089392697325E-2</v>
      </c>
      <c r="BW150" s="463">
        <f t="shared" si="235"/>
        <v>1.3360103663833014E-3</v>
      </c>
      <c r="BX150" s="463">
        <f t="shared" si="236"/>
        <v>0</v>
      </c>
      <c r="BY150" s="463">
        <f t="shared" si="180"/>
        <v>8.0446095203175805E-2</v>
      </c>
      <c r="BZ150" s="463">
        <f t="shared" si="250"/>
        <v>7.141650081543012E-2</v>
      </c>
      <c r="CA150" s="549">
        <f t="shared" si="270"/>
        <v>3.2000000000000028E-2</v>
      </c>
      <c r="CB150" s="147">
        <f t="shared" si="238"/>
        <v>255.27909683403604</v>
      </c>
      <c r="CC150" s="153">
        <f t="shared" si="251"/>
        <v>0.18195167062833661</v>
      </c>
      <c r="CD150" s="5">
        <f t="shared" si="239"/>
        <v>1.4400000000000004</v>
      </c>
      <c r="CE150" s="153">
        <f t="shared" si="240"/>
        <v>0.88781930194143865</v>
      </c>
      <c r="CF150" s="5">
        <f t="shared" si="241"/>
        <v>88.781930194143868</v>
      </c>
      <c r="CG150">
        <f t="shared" si="242"/>
        <v>40.000000000000007</v>
      </c>
      <c r="CI150" s="59">
        <f t="shared" si="271"/>
        <v>-50</v>
      </c>
      <c r="CJ150">
        <f t="shared" si="272"/>
        <v>-50</v>
      </c>
    </row>
    <row r="151" spans="5:88" x14ac:dyDescent="0.25">
      <c r="E151" s="150">
        <v>41</v>
      </c>
      <c r="F151" s="191">
        <f t="shared" si="273"/>
        <v>4.1000000000000002E-2</v>
      </c>
      <c r="G151" s="191">
        <f t="shared" si="252"/>
        <v>4.1000000000000002E-2</v>
      </c>
      <c r="H151" s="191">
        <f t="shared" si="253"/>
        <v>0.82000000000000006</v>
      </c>
      <c r="I151" s="191">
        <f t="shared" si="254"/>
        <v>0.65600000000000003</v>
      </c>
      <c r="J151" s="472">
        <f t="shared" si="186"/>
        <v>9</v>
      </c>
      <c r="K151" s="386">
        <f t="shared" si="187"/>
        <v>20.32</v>
      </c>
      <c r="L151" s="386">
        <f t="shared" si="188"/>
        <v>29.32</v>
      </c>
      <c r="M151" s="386"/>
      <c r="N151" s="191">
        <f t="shared" si="189"/>
        <v>0.69304229195088674</v>
      </c>
      <c r="O151" s="152">
        <f t="shared" si="255"/>
        <v>1.1695088676671213</v>
      </c>
      <c r="P151" s="152">
        <f t="shared" si="256"/>
        <v>1.6840927694406547</v>
      </c>
      <c r="Q151" s="191">
        <f t="shared" si="192"/>
        <v>5.8475443383356064E-2</v>
      </c>
      <c r="R151" s="191">
        <f t="shared" si="257"/>
        <v>7.3094304229195078E-2</v>
      </c>
      <c r="S151" s="191">
        <f t="shared" si="258"/>
        <v>20</v>
      </c>
      <c r="T151" s="191">
        <f t="shared" si="259"/>
        <v>0.52586176727909018</v>
      </c>
      <c r="U151" s="191">
        <f t="shared" si="196"/>
        <v>8.7643627879848349</v>
      </c>
      <c r="V151" s="191">
        <f t="shared" si="197"/>
        <v>3.8818535970405272</v>
      </c>
      <c r="W151" s="175">
        <f t="shared" si="198"/>
        <v>277.21691678035478</v>
      </c>
      <c r="X151" s="386">
        <f t="shared" si="199"/>
        <v>79.075034741942261</v>
      </c>
      <c r="Z151" s="191">
        <f t="shared" si="200"/>
        <v>0.14999999999999997</v>
      </c>
      <c r="AA151" s="153">
        <f t="shared" si="201"/>
        <v>1.1072834645669287</v>
      </c>
      <c r="AB151" s="153">
        <f t="shared" si="260"/>
        <v>1.2789904502046381E-2</v>
      </c>
      <c r="AC151" s="153"/>
      <c r="AD151" s="153">
        <f t="shared" si="203"/>
        <v>1.1072834645669289</v>
      </c>
      <c r="AE151" s="317">
        <f t="shared" si="261"/>
        <v>493.7007407407408</v>
      </c>
      <c r="AF151" s="463">
        <f t="shared" si="262"/>
        <v>2.3021828103683497E-2</v>
      </c>
      <c r="AH151" s="153">
        <f t="shared" si="263"/>
        <v>0.23712564481424492</v>
      </c>
      <c r="AI151" s="153">
        <f t="shared" si="264"/>
        <v>0.52586176727909018</v>
      </c>
      <c r="AJ151" s="153">
        <f t="shared" si="265"/>
        <v>1.4784161239104372</v>
      </c>
      <c r="AL151" s="317">
        <f t="shared" si="266"/>
        <v>41</v>
      </c>
      <c r="AM151" s="147">
        <f t="shared" si="267"/>
        <v>79.075034741942261</v>
      </c>
      <c r="AO151" s="147">
        <f t="shared" si="211"/>
        <v>41</v>
      </c>
      <c r="AP151" s="147">
        <f t="shared" si="212"/>
        <v>79.075034741942261</v>
      </c>
      <c r="AR151" s="5">
        <f t="shared" si="249"/>
        <v>12.646216385025362</v>
      </c>
      <c r="AS151" s="5">
        <f t="shared" si="246"/>
        <v>8.7643627879848349</v>
      </c>
      <c r="AT151" s="5">
        <f t="shared" si="247"/>
        <v>3.8818535970405268</v>
      </c>
      <c r="AU151" s="153">
        <f t="shared" si="248"/>
        <v>0.69304229195088685</v>
      </c>
      <c r="AW151" s="5">
        <f t="shared" si="216"/>
        <v>1.7966943715368913</v>
      </c>
      <c r="AX151" s="5"/>
      <c r="AY151" s="5">
        <f t="shared" si="217"/>
        <v>2.2458679644211141</v>
      </c>
      <c r="AZ151" s="5"/>
      <c r="BA151" s="5">
        <f t="shared" si="218"/>
        <v>0.39297777155225094</v>
      </c>
      <c r="BB151" s="5"/>
      <c r="BC151" s="5"/>
      <c r="BD151" s="153">
        <f t="shared" si="219"/>
        <v>0.25274981017507003</v>
      </c>
      <c r="BE151" s="153">
        <f t="shared" si="220"/>
        <v>0.1682093919844016</v>
      </c>
      <c r="BF151" s="153">
        <f t="shared" si="221"/>
        <v>0.16754974730995298</v>
      </c>
      <c r="BG151" s="153"/>
      <c r="BH151" s="463">
        <f t="shared" si="222"/>
        <v>2.2358863290236876E-2</v>
      </c>
      <c r="BI151" s="463">
        <f t="shared" si="223"/>
        <v>6.0959999999999999E-3</v>
      </c>
      <c r="BJ151" s="463">
        <f t="shared" si="224"/>
        <v>9.8843793427427816E-4</v>
      </c>
      <c r="BK151" s="463">
        <f t="shared" si="225"/>
        <v>3.3988917073170741E-3</v>
      </c>
      <c r="BL151">
        <f t="shared" si="226"/>
        <v>2.6099999999999999E-3</v>
      </c>
      <c r="BM151">
        <f t="shared" si="268"/>
        <v>7.9075034741942266E-7</v>
      </c>
      <c r="BN151">
        <f t="shared" si="269"/>
        <v>3.8630790359760227E-2</v>
      </c>
      <c r="BO151" s="147">
        <f t="shared" si="229"/>
        <v>35.452192931828236</v>
      </c>
      <c r="BP151" s="153">
        <f t="shared" si="230"/>
        <v>1.6400000000000001E-2</v>
      </c>
      <c r="BQ151" s="153">
        <f t="shared" si="231"/>
        <v>1.6400000000000001E-2</v>
      </c>
      <c r="BR151" s="463"/>
      <c r="BT151" s="147">
        <f t="shared" si="232"/>
        <v>32.800000000000004</v>
      </c>
      <c r="BU151" s="463">
        <f t="shared" si="233"/>
        <v>5.1105973234827157E-2</v>
      </c>
      <c r="BV151" s="463">
        <f t="shared" si="234"/>
        <v>2.2522342043202609E-2</v>
      </c>
      <c r="BW151" s="463">
        <f t="shared" si="235"/>
        <v>1.4036458911814548E-3</v>
      </c>
      <c r="BX151" s="463">
        <f t="shared" si="236"/>
        <v>0</v>
      </c>
      <c r="BY151" s="463">
        <f t="shared" si="180"/>
        <v>8.454327231153233E-2</v>
      </c>
      <c r="BZ151" s="463">
        <f t="shared" si="250"/>
        <v>7.5031961169211223E-2</v>
      </c>
      <c r="CA151" s="549">
        <f t="shared" si="270"/>
        <v>3.280000000000001E-2</v>
      </c>
      <c r="CB151" s="147">
        <f t="shared" si="238"/>
        <v>267.40719464995476</v>
      </c>
      <c r="CC151" s="153">
        <f t="shared" si="251"/>
        <v>0.18877406267129254</v>
      </c>
      <c r="CD151" s="5">
        <f t="shared" si="239"/>
        <v>1.476</v>
      </c>
      <c r="CE151" s="153">
        <f t="shared" si="240"/>
        <v>0.88660679734018311</v>
      </c>
      <c r="CF151" s="5">
        <f t="shared" si="241"/>
        <v>88.660679734018316</v>
      </c>
      <c r="CG151">
        <f t="shared" si="242"/>
        <v>41</v>
      </c>
      <c r="CI151" s="59">
        <f t="shared" si="271"/>
        <v>-50</v>
      </c>
      <c r="CJ151">
        <f t="shared" si="272"/>
        <v>-50</v>
      </c>
    </row>
    <row r="152" spans="5:88" x14ac:dyDescent="0.25">
      <c r="E152" s="150">
        <v>42</v>
      </c>
      <c r="F152" s="191">
        <f t="shared" si="273"/>
        <v>4.2000000000000003E-2</v>
      </c>
      <c r="G152" s="191">
        <f t="shared" si="252"/>
        <v>4.2000000000000003E-2</v>
      </c>
      <c r="H152" s="191">
        <f t="shared" si="253"/>
        <v>0.84000000000000008</v>
      </c>
      <c r="I152" s="191">
        <f t="shared" si="254"/>
        <v>0.67200000000000004</v>
      </c>
      <c r="J152" s="472">
        <f t="shared" si="186"/>
        <v>9</v>
      </c>
      <c r="K152" s="386">
        <f t="shared" si="187"/>
        <v>20.32</v>
      </c>
      <c r="L152" s="386">
        <f t="shared" si="188"/>
        <v>29.32</v>
      </c>
      <c r="M152" s="386"/>
      <c r="N152" s="191">
        <f t="shared" si="189"/>
        <v>0.69304229195088674</v>
      </c>
      <c r="O152" s="152">
        <f t="shared" si="255"/>
        <v>1.1695088676671213</v>
      </c>
      <c r="P152" s="152">
        <f t="shared" si="256"/>
        <v>1.6840927694406547</v>
      </c>
      <c r="Q152" s="191">
        <f t="shared" si="192"/>
        <v>5.8475443383356064E-2</v>
      </c>
      <c r="R152" s="191">
        <f t="shared" si="257"/>
        <v>7.3094304229195078E-2</v>
      </c>
      <c r="S152" s="191">
        <f t="shared" si="258"/>
        <v>20</v>
      </c>
      <c r="T152" s="191">
        <f t="shared" si="259"/>
        <v>0.53868766404199475</v>
      </c>
      <c r="U152" s="191">
        <f t="shared" si="196"/>
        <v>8.9781277340332455</v>
      </c>
      <c r="V152" s="191">
        <f t="shared" si="197"/>
        <v>3.9765329530659064</v>
      </c>
      <c r="W152" s="175">
        <f t="shared" si="198"/>
        <v>277.21691678035478</v>
      </c>
      <c r="X152" s="386">
        <f t="shared" si="199"/>
        <v>77.192295819515067</v>
      </c>
      <c r="Z152" s="191">
        <f t="shared" si="200"/>
        <v>0.14999999999999997</v>
      </c>
      <c r="AA152" s="153">
        <f t="shared" si="201"/>
        <v>1.1072834645669287</v>
      </c>
      <c r="AB152" s="153">
        <f t="shared" si="260"/>
        <v>1.2789904502046381E-2</v>
      </c>
      <c r="AC152" s="153"/>
      <c r="AD152" s="153">
        <f t="shared" si="203"/>
        <v>1.1072834645669289</v>
      </c>
      <c r="AE152" s="317">
        <f t="shared" si="261"/>
        <v>505.74222222222232</v>
      </c>
      <c r="AF152" s="463">
        <f t="shared" si="262"/>
        <v>2.3021828103683497E-2</v>
      </c>
      <c r="AH152" s="153">
        <f t="shared" si="263"/>
        <v>0.24000000000000002</v>
      </c>
      <c r="AI152" s="153">
        <f t="shared" si="264"/>
        <v>0.53868766404199475</v>
      </c>
      <c r="AJ152" s="153">
        <f t="shared" si="265"/>
        <v>1.4879167881792554</v>
      </c>
      <c r="AL152" s="317">
        <f t="shared" si="266"/>
        <v>42</v>
      </c>
      <c r="AM152" s="147">
        <f t="shared" si="267"/>
        <v>77.192295819515067</v>
      </c>
      <c r="AO152" s="147">
        <f t="shared" si="211"/>
        <v>42</v>
      </c>
      <c r="AP152" s="147">
        <f t="shared" si="212"/>
        <v>77.192295819515067</v>
      </c>
      <c r="AR152" s="5">
        <f t="shared" si="249"/>
        <v>12.954660687099151</v>
      </c>
      <c r="AS152" s="5">
        <f t="shared" si="246"/>
        <v>8.9781277340332455</v>
      </c>
      <c r="AT152" s="5">
        <f t="shared" si="247"/>
        <v>3.9765329530659059</v>
      </c>
      <c r="AU152" s="153">
        <f t="shared" si="248"/>
        <v>0.69304229195088674</v>
      </c>
      <c r="AW152" s="5">
        <f t="shared" si="216"/>
        <v>1.8854068241469819</v>
      </c>
      <c r="AX152" s="5"/>
      <c r="AY152" s="5">
        <f t="shared" si="217"/>
        <v>2.3567585301837273</v>
      </c>
      <c r="AZ152" s="5"/>
      <c r="BA152" s="5">
        <f t="shared" si="218"/>
        <v>0.41238119513276061</v>
      </c>
      <c r="BB152" s="5"/>
      <c r="BC152" s="5"/>
      <c r="BD152" s="153">
        <f t="shared" si="219"/>
        <v>0.2589144396915351</v>
      </c>
      <c r="BE152" s="153">
        <f t="shared" si="220"/>
        <v>0.17231206008158215</v>
      </c>
      <c r="BF152" s="153">
        <f t="shared" si="221"/>
        <v>0.17163632651263477</v>
      </c>
      <c r="BG152" s="153"/>
      <c r="BH152" s="463">
        <f t="shared" si="222"/>
        <v>2.3462840478273548E-2</v>
      </c>
      <c r="BI152" s="463">
        <f t="shared" si="223"/>
        <v>6.0959999999999999E-3</v>
      </c>
      <c r="BJ152" s="463">
        <f t="shared" si="224"/>
        <v>9.6490369774393828E-4</v>
      </c>
      <c r="BK152" s="463">
        <f t="shared" si="225"/>
        <v>3.3179657142857152E-3</v>
      </c>
      <c r="BL152">
        <f t="shared" si="226"/>
        <v>2.6099999999999999E-3</v>
      </c>
      <c r="BM152">
        <f t="shared" si="268"/>
        <v>7.719229581951507E-7</v>
      </c>
      <c r="BN152">
        <f t="shared" si="269"/>
        <v>3.9792221589830687E-2</v>
      </c>
      <c r="BO152" s="147">
        <f t="shared" si="229"/>
        <v>36.451709890303206</v>
      </c>
      <c r="BP152" s="153">
        <f t="shared" si="230"/>
        <v>1.6800000000000002E-2</v>
      </c>
      <c r="BQ152" s="153">
        <f t="shared" si="231"/>
        <v>1.6800000000000002E-2</v>
      </c>
      <c r="BR152" s="463"/>
      <c r="BT152" s="147">
        <f t="shared" si="232"/>
        <v>33.6</v>
      </c>
      <c r="BU152" s="463">
        <f t="shared" si="233"/>
        <v>5.3629349664625264E-2</v>
      </c>
      <c r="BV152" s="463">
        <f t="shared" si="234"/>
        <v>2.3634391055448789E-2</v>
      </c>
      <c r="BW152" s="463">
        <f t="shared" si="235"/>
        <v>1.4729514289375887E-3</v>
      </c>
      <c r="BX152" s="463">
        <f t="shared" si="236"/>
        <v>0</v>
      </c>
      <c r="BY152" s="463">
        <f t="shared" si="180"/>
        <v>8.8744088484899467E-2</v>
      </c>
      <c r="BZ152" s="463">
        <f t="shared" si="250"/>
        <v>7.8736692149011647E-2</v>
      </c>
      <c r="CA152" s="549">
        <f t="shared" si="270"/>
        <v>3.3600000000000012E-2</v>
      </c>
      <c r="CB152" s="147">
        <f t="shared" si="238"/>
        <v>279.81747278292278</v>
      </c>
      <c r="CC152" s="153">
        <f t="shared" si="251"/>
        <v>0.19573631007473019</v>
      </c>
      <c r="CD152" s="5">
        <f t="shared" si="239"/>
        <v>1.512</v>
      </c>
      <c r="CE152" s="153">
        <f t="shared" si="240"/>
        <v>0.88538259160972876</v>
      </c>
      <c r="CF152" s="5">
        <f t="shared" si="241"/>
        <v>88.538259160972871</v>
      </c>
      <c r="CG152">
        <f t="shared" si="242"/>
        <v>42</v>
      </c>
      <c r="CI152" s="59">
        <f t="shared" si="271"/>
        <v>-50</v>
      </c>
      <c r="CJ152">
        <f t="shared" si="272"/>
        <v>-50</v>
      </c>
    </row>
    <row r="153" spans="5:88" x14ac:dyDescent="0.25">
      <c r="E153" s="150">
        <v>43</v>
      </c>
      <c r="F153" s="191">
        <f t="shared" si="273"/>
        <v>4.3000000000000003E-2</v>
      </c>
      <c r="G153" s="191">
        <f t="shared" si="252"/>
        <v>4.3000000000000003E-2</v>
      </c>
      <c r="H153" s="191">
        <f t="shared" si="253"/>
        <v>0.8600000000000001</v>
      </c>
      <c r="I153" s="191">
        <f t="shared" si="254"/>
        <v>0.68800000000000006</v>
      </c>
      <c r="J153" s="472">
        <f t="shared" si="186"/>
        <v>9</v>
      </c>
      <c r="K153" s="386">
        <f t="shared" si="187"/>
        <v>20.32</v>
      </c>
      <c r="L153" s="386">
        <f t="shared" si="188"/>
        <v>29.32</v>
      </c>
      <c r="M153" s="386"/>
      <c r="N153" s="191">
        <f t="shared" si="189"/>
        <v>0.69304229195088674</v>
      </c>
      <c r="O153" s="152">
        <f t="shared" si="255"/>
        <v>1.1695088676671213</v>
      </c>
      <c r="P153" s="152">
        <f t="shared" si="256"/>
        <v>1.6840927694406547</v>
      </c>
      <c r="Q153" s="191">
        <f t="shared" si="192"/>
        <v>5.8475443383356064E-2</v>
      </c>
      <c r="R153" s="191">
        <f t="shared" si="257"/>
        <v>7.3094304229195078E-2</v>
      </c>
      <c r="S153" s="191">
        <f t="shared" si="258"/>
        <v>20</v>
      </c>
      <c r="T153" s="191">
        <f t="shared" si="259"/>
        <v>0.55151356080489944</v>
      </c>
      <c r="U153" s="191">
        <f t="shared" si="196"/>
        <v>9.1918926800816561</v>
      </c>
      <c r="V153" s="191">
        <f t="shared" si="197"/>
        <v>4.0712123090912842</v>
      </c>
      <c r="W153" s="175">
        <f t="shared" si="198"/>
        <v>277.21691678035478</v>
      </c>
      <c r="X153" s="386">
        <f t="shared" si="199"/>
        <v>75.397126149293783</v>
      </c>
      <c r="Z153" s="191">
        <f t="shared" si="200"/>
        <v>0.14999999999999997</v>
      </c>
      <c r="AA153" s="153">
        <f t="shared" si="201"/>
        <v>1.1072834645669287</v>
      </c>
      <c r="AB153" s="153">
        <f t="shared" si="260"/>
        <v>1.2789904502046381E-2</v>
      </c>
      <c r="AC153" s="153"/>
      <c r="AD153" s="153">
        <f t="shared" si="203"/>
        <v>1.1072834645669289</v>
      </c>
      <c r="AE153" s="317">
        <f t="shared" si="261"/>
        <v>517.78370370370374</v>
      </c>
      <c r="AF153" s="463">
        <f t="shared" si="262"/>
        <v>2.3021828103683497E-2</v>
      </c>
      <c r="AH153" s="153">
        <f t="shared" si="263"/>
        <v>0.24284033555286605</v>
      </c>
      <c r="AI153" s="153">
        <f t="shared" si="264"/>
        <v>0.55151356080489944</v>
      </c>
      <c r="AJ153" s="153">
        <f t="shared" si="265"/>
        <v>1.4974174524480737</v>
      </c>
      <c r="AL153" s="317">
        <f t="shared" si="266"/>
        <v>43</v>
      </c>
      <c r="AM153" s="147">
        <f t="shared" si="267"/>
        <v>75.397126149293783</v>
      </c>
      <c r="AO153" s="147">
        <f t="shared" si="211"/>
        <v>43</v>
      </c>
      <c r="AP153" s="147">
        <f t="shared" si="212"/>
        <v>75.397126149293783</v>
      </c>
      <c r="AR153" s="5">
        <f t="shared" si="249"/>
        <v>13.263104989172941</v>
      </c>
      <c r="AS153" s="5">
        <f t="shared" si="246"/>
        <v>9.1918926800816561</v>
      </c>
      <c r="AT153" s="5">
        <f t="shared" si="247"/>
        <v>4.0712123090912851</v>
      </c>
      <c r="AU153" s="153">
        <f t="shared" si="248"/>
        <v>0.69304229195088674</v>
      </c>
      <c r="AW153" s="5">
        <f t="shared" si="216"/>
        <v>1.9762569262175562</v>
      </c>
      <c r="AX153" s="5"/>
      <c r="AY153" s="5">
        <f t="shared" si="217"/>
        <v>2.4703211577719451</v>
      </c>
      <c r="AZ153" s="5"/>
      <c r="BA153" s="5">
        <f t="shared" si="218"/>
        <v>0.43225217108870434</v>
      </c>
      <c r="BB153" s="5"/>
      <c r="BC153" s="5"/>
      <c r="BD153" s="153">
        <f t="shared" si="219"/>
        <v>0.26507906920800023</v>
      </c>
      <c r="BE153" s="153">
        <f t="shared" si="220"/>
        <v>0.17641472817876269</v>
      </c>
      <c r="BF153" s="153">
        <f t="shared" si="221"/>
        <v>0.17572290571531657</v>
      </c>
      <c r="BG153" s="153"/>
      <c r="BH153" s="463">
        <f t="shared" si="222"/>
        <v>2.459341952626292E-2</v>
      </c>
      <c r="BI153" s="463">
        <f t="shared" si="223"/>
        <v>6.0959999999999999E-3</v>
      </c>
      <c r="BJ153" s="463">
        <f t="shared" si="224"/>
        <v>9.4246407686617234E-4</v>
      </c>
      <c r="BK153" s="463">
        <f t="shared" si="225"/>
        <v>3.240803720930233E-3</v>
      </c>
      <c r="BL153">
        <f t="shared" si="226"/>
        <v>2.6099999999999999E-3</v>
      </c>
      <c r="BM153">
        <f t="shared" si="268"/>
        <v>7.5397126149293785E-7</v>
      </c>
      <c r="BN153">
        <f t="shared" si="269"/>
        <v>4.0989542402169996E-2</v>
      </c>
      <c r="BO153" s="147">
        <f t="shared" si="229"/>
        <v>37.482687324059327</v>
      </c>
      <c r="BP153" s="153">
        <f t="shared" si="230"/>
        <v>1.7200000000000003E-2</v>
      </c>
      <c r="BQ153" s="153">
        <f t="shared" si="231"/>
        <v>1.7200000000000003E-2</v>
      </c>
      <c r="BR153" s="463"/>
      <c r="BT153" s="147">
        <f t="shared" si="232"/>
        <v>34.400000000000006</v>
      </c>
      <c r="BU153" s="463">
        <f t="shared" si="233"/>
        <v>5.6213530345743827E-2</v>
      </c>
      <c r="BV153" s="463">
        <f t="shared" si="234"/>
        <v>2.4773236429435838E-2</v>
      </c>
      <c r="BW153" s="463">
        <f t="shared" si="235"/>
        <v>1.5439269796517019E-3</v>
      </c>
      <c r="BX153" s="463">
        <f t="shared" si="236"/>
        <v>0</v>
      </c>
      <c r="BY153" s="463">
        <f t="shared" si="180"/>
        <v>9.3048727085359842E-2</v>
      </c>
      <c r="BZ153" s="463">
        <f t="shared" si="250"/>
        <v>8.2530693754831366E-2</v>
      </c>
      <c r="CA153" s="549">
        <f t="shared" si="270"/>
        <v>3.4400000000000007E-2</v>
      </c>
      <c r="CB153" s="147">
        <f t="shared" si="238"/>
        <v>292.51011459502257</v>
      </c>
      <c r="CC153" s="153">
        <f t="shared" si="251"/>
        <v>0.20283826948752987</v>
      </c>
      <c r="CD153" s="5">
        <f t="shared" si="239"/>
        <v>1.548</v>
      </c>
      <c r="CE153" s="153">
        <f t="shared" si="240"/>
        <v>0.88414791187600628</v>
      </c>
      <c r="CF153" s="5">
        <f t="shared" si="241"/>
        <v>88.414791187600628</v>
      </c>
      <c r="CG153">
        <f t="shared" si="242"/>
        <v>43</v>
      </c>
      <c r="CI153" s="59">
        <f t="shared" si="271"/>
        <v>-50</v>
      </c>
      <c r="CJ153">
        <f t="shared" si="272"/>
        <v>-50</v>
      </c>
    </row>
    <row r="154" spans="5:88" x14ac:dyDescent="0.25">
      <c r="E154" s="150">
        <v>44</v>
      </c>
      <c r="F154" s="191">
        <f t="shared" si="273"/>
        <v>4.4000000000000004E-2</v>
      </c>
      <c r="G154" s="191">
        <f t="shared" si="252"/>
        <v>4.4000000000000004E-2</v>
      </c>
      <c r="H154" s="191">
        <f t="shared" si="253"/>
        <v>0.88000000000000012</v>
      </c>
      <c r="I154" s="191">
        <f t="shared" si="254"/>
        <v>0.70400000000000007</v>
      </c>
      <c r="J154" s="472">
        <f t="shared" si="186"/>
        <v>9</v>
      </c>
      <c r="K154" s="386">
        <f t="shared" si="187"/>
        <v>20.32</v>
      </c>
      <c r="L154" s="386">
        <f t="shared" si="188"/>
        <v>29.32</v>
      </c>
      <c r="M154" s="386"/>
      <c r="N154" s="191">
        <f t="shared" si="189"/>
        <v>0.69304229195088674</v>
      </c>
      <c r="O154" s="152">
        <f t="shared" si="255"/>
        <v>1.1695088676671213</v>
      </c>
      <c r="P154" s="152">
        <f t="shared" si="256"/>
        <v>1.6840927694406547</v>
      </c>
      <c r="Q154" s="191">
        <f t="shared" si="192"/>
        <v>5.8475443383356064E-2</v>
      </c>
      <c r="R154" s="191">
        <f t="shared" si="257"/>
        <v>7.3094304229195078E-2</v>
      </c>
      <c r="S154" s="191">
        <f t="shared" si="258"/>
        <v>20</v>
      </c>
      <c r="T154" s="191">
        <f t="shared" si="259"/>
        <v>0.56433945756780413</v>
      </c>
      <c r="U154" s="191">
        <f t="shared" si="196"/>
        <v>9.4056576261300684</v>
      </c>
      <c r="V154" s="191">
        <f t="shared" si="197"/>
        <v>4.1658916651166642</v>
      </c>
      <c r="W154" s="175">
        <f t="shared" si="198"/>
        <v>277.21691678035478</v>
      </c>
      <c r="X154" s="386">
        <f t="shared" si="199"/>
        <v>73.683555100446185</v>
      </c>
      <c r="Z154" s="191">
        <f t="shared" si="200"/>
        <v>0.14999999999999997</v>
      </c>
      <c r="AA154" s="153">
        <f t="shared" si="201"/>
        <v>1.1072834645669287</v>
      </c>
      <c r="AB154" s="153">
        <f t="shared" si="260"/>
        <v>1.2789904502046381E-2</v>
      </c>
      <c r="AC154" s="153"/>
      <c r="AD154" s="153">
        <f t="shared" si="203"/>
        <v>1.1072834645669289</v>
      </c>
      <c r="AE154" s="317">
        <f t="shared" si="261"/>
        <v>529.82518518518532</v>
      </c>
      <c r="AF154" s="463">
        <f t="shared" si="262"/>
        <v>2.3021828103683497E-2</v>
      </c>
      <c r="AH154" s="153">
        <f t="shared" si="263"/>
        <v>0.24564783154519634</v>
      </c>
      <c r="AI154" s="153">
        <f t="shared" si="264"/>
        <v>0.56433945756780413</v>
      </c>
      <c r="AJ154" s="153">
        <f t="shared" si="265"/>
        <v>1.5069181167168919</v>
      </c>
      <c r="AL154" s="317">
        <f t="shared" si="266"/>
        <v>44.000000000000007</v>
      </c>
      <c r="AM154" s="147">
        <f t="shared" si="267"/>
        <v>73.683555100446185</v>
      </c>
      <c r="AO154" s="147">
        <f t="shared" si="211"/>
        <v>44.000000000000007</v>
      </c>
      <c r="AP154" s="147">
        <f t="shared" si="212"/>
        <v>73.683555100446185</v>
      </c>
      <c r="AR154" s="5">
        <f t="shared" si="249"/>
        <v>13.571549291246733</v>
      </c>
      <c r="AS154" s="5">
        <f t="shared" si="246"/>
        <v>9.4056576261300684</v>
      </c>
      <c r="AT154" s="5">
        <f t="shared" si="247"/>
        <v>4.1658916651166642</v>
      </c>
      <c r="AU154" s="153">
        <f t="shared" si="248"/>
        <v>0.69304229195088674</v>
      </c>
      <c r="AW154" s="5">
        <f t="shared" si="216"/>
        <v>2.0692446777486153</v>
      </c>
      <c r="AX154" s="5"/>
      <c r="AY154" s="5">
        <f t="shared" si="217"/>
        <v>2.5865558471857693</v>
      </c>
      <c r="AZ154" s="5"/>
      <c r="BA154" s="5">
        <f t="shared" si="218"/>
        <v>0.45259069942008207</v>
      </c>
      <c r="BB154" s="5"/>
      <c r="BC154" s="5"/>
      <c r="BD154" s="153">
        <f t="shared" si="219"/>
        <v>0.27124369872446541</v>
      </c>
      <c r="BE154" s="153">
        <f t="shared" si="220"/>
        <v>0.18051739627594324</v>
      </c>
      <c r="BF154" s="153">
        <f t="shared" si="221"/>
        <v>0.17980948491799836</v>
      </c>
      <c r="BG154" s="153"/>
      <c r="BH154" s="463">
        <f t="shared" si="222"/>
        <v>2.5750600434204993E-2</v>
      </c>
      <c r="BI154" s="463">
        <f t="shared" si="223"/>
        <v>6.0959999999999999E-3</v>
      </c>
      <c r="BJ154" s="463">
        <f t="shared" si="224"/>
        <v>9.2104443875557732E-4</v>
      </c>
      <c r="BK154" s="463">
        <f t="shared" si="225"/>
        <v>3.1671490909090908E-3</v>
      </c>
      <c r="BL154">
        <f t="shared" si="226"/>
        <v>2.6099999999999999E-3</v>
      </c>
      <c r="BM154">
        <f t="shared" si="268"/>
        <v>7.3683555100446183E-7</v>
      </c>
      <c r="BN154">
        <f t="shared" si="269"/>
        <v>4.2222460165887772E-2</v>
      </c>
      <c r="BO154" s="147">
        <f t="shared" si="229"/>
        <v>38.544793963869665</v>
      </c>
      <c r="BP154" s="153">
        <f t="shared" si="230"/>
        <v>1.7600000000000001E-2</v>
      </c>
      <c r="BQ154" s="153">
        <f t="shared" si="231"/>
        <v>1.7600000000000001E-2</v>
      </c>
      <c r="BR154" s="463"/>
      <c r="BT154" s="147">
        <f t="shared" si="232"/>
        <v>35.200000000000003</v>
      </c>
      <c r="BU154" s="463">
        <f t="shared" si="233"/>
        <v>5.8858515278182845E-2</v>
      </c>
      <c r="BV154" s="463">
        <f t="shared" si="234"/>
        <v>2.593887816516376E-2</v>
      </c>
      <c r="BW154" s="463">
        <f t="shared" si="235"/>
        <v>1.6165725433237941E-3</v>
      </c>
      <c r="BX154" s="463">
        <f t="shared" si="236"/>
        <v>0</v>
      </c>
      <c r="BY154" s="463">
        <f t="shared" si="180"/>
        <v>9.7457376176274604E-2</v>
      </c>
      <c r="BZ154" s="463">
        <f t="shared" si="250"/>
        <v>8.6413965986670407E-2</v>
      </c>
      <c r="CA154" s="549">
        <f t="shared" si="270"/>
        <v>3.5200000000000009E-2</v>
      </c>
      <c r="CB154" s="147">
        <f t="shared" si="238"/>
        <v>305.48530814961543</v>
      </c>
      <c r="CC154" s="153">
        <f t="shared" si="251"/>
        <v>0.21007983634216237</v>
      </c>
      <c r="CD154" s="5">
        <f t="shared" si="239"/>
        <v>1.5840000000000001</v>
      </c>
      <c r="CE154" s="153">
        <f t="shared" si="240"/>
        <v>0.88290385294643237</v>
      </c>
      <c r="CF154" s="5">
        <f t="shared" si="241"/>
        <v>88.290385294643244</v>
      </c>
      <c r="CG154">
        <f t="shared" si="242"/>
        <v>44</v>
      </c>
      <c r="CI154" s="59">
        <f t="shared" si="271"/>
        <v>-50</v>
      </c>
      <c r="CJ154">
        <f t="shared" si="272"/>
        <v>-50</v>
      </c>
    </row>
    <row r="155" spans="5:88" x14ac:dyDescent="0.25">
      <c r="E155" s="150">
        <v>45</v>
      </c>
      <c r="F155" s="191">
        <f t="shared" si="273"/>
        <v>4.5000000000000005E-2</v>
      </c>
      <c r="G155" s="191">
        <f t="shared" si="252"/>
        <v>4.5000000000000005E-2</v>
      </c>
      <c r="H155" s="191">
        <f t="shared" si="253"/>
        <v>0.90000000000000013</v>
      </c>
      <c r="I155" s="191">
        <f t="shared" si="254"/>
        <v>0.72000000000000008</v>
      </c>
      <c r="J155" s="472">
        <f t="shared" si="186"/>
        <v>9</v>
      </c>
      <c r="K155" s="386">
        <f t="shared" si="187"/>
        <v>20.32</v>
      </c>
      <c r="L155" s="386">
        <f t="shared" si="188"/>
        <v>29.32</v>
      </c>
      <c r="M155" s="386"/>
      <c r="N155" s="191">
        <f t="shared" si="189"/>
        <v>0.69304229195088674</v>
      </c>
      <c r="O155" s="152">
        <f t="shared" si="255"/>
        <v>1.1695088676671213</v>
      </c>
      <c r="P155" s="152">
        <f t="shared" si="256"/>
        <v>1.6840927694406547</v>
      </c>
      <c r="Q155" s="191">
        <f t="shared" si="192"/>
        <v>5.8475443383356064E-2</v>
      </c>
      <c r="R155" s="191">
        <f t="shared" si="257"/>
        <v>7.3094304229195078E-2</v>
      </c>
      <c r="S155" s="191">
        <f t="shared" si="258"/>
        <v>20</v>
      </c>
      <c r="T155" s="191">
        <f t="shared" si="259"/>
        <v>0.5771653543307087</v>
      </c>
      <c r="U155" s="191">
        <f t="shared" si="196"/>
        <v>9.6194225721784772</v>
      </c>
      <c r="V155" s="191">
        <f t="shared" si="197"/>
        <v>4.2605710211420424</v>
      </c>
      <c r="W155" s="175">
        <f t="shared" si="198"/>
        <v>277.21691678035478</v>
      </c>
      <c r="X155" s="386">
        <f t="shared" si="199"/>
        <v>72.046142764880727</v>
      </c>
      <c r="Z155" s="191">
        <f t="shared" si="200"/>
        <v>0.14999999999999997</v>
      </c>
      <c r="AA155" s="153">
        <f t="shared" si="201"/>
        <v>1.1072834645669287</v>
      </c>
      <c r="AB155" s="153">
        <f t="shared" si="260"/>
        <v>1.2789904502046381E-2</v>
      </c>
      <c r="AC155" s="153"/>
      <c r="AD155" s="153">
        <f t="shared" si="203"/>
        <v>1.1072834645669289</v>
      </c>
      <c r="AE155" s="317">
        <f t="shared" si="261"/>
        <v>541.86666666666679</v>
      </c>
      <c r="AF155" s="463">
        <f t="shared" si="262"/>
        <v>2.3021828103683497E-2</v>
      </c>
      <c r="AH155" s="153">
        <f t="shared" si="263"/>
        <v>0.24842360136324754</v>
      </c>
      <c r="AI155" s="153">
        <f t="shared" si="264"/>
        <v>0.5771653543307087</v>
      </c>
      <c r="AJ155" s="153">
        <f t="shared" si="265"/>
        <v>1.5164187809857101</v>
      </c>
      <c r="AL155" s="317">
        <f t="shared" si="266"/>
        <v>45.000000000000007</v>
      </c>
      <c r="AM155" s="147">
        <f t="shared" si="267"/>
        <v>72.046142764880727</v>
      </c>
      <c r="AO155" s="147">
        <f t="shared" si="211"/>
        <v>45.000000000000007</v>
      </c>
      <c r="AP155" s="147">
        <f t="shared" si="212"/>
        <v>72.046142764880727</v>
      </c>
      <c r="AR155" s="5">
        <f t="shared" si="249"/>
        <v>13.879993593320521</v>
      </c>
      <c r="AS155" s="5">
        <f t="shared" si="246"/>
        <v>9.6194225721784772</v>
      </c>
      <c r="AT155" s="5">
        <f t="shared" si="247"/>
        <v>4.2605710211420433</v>
      </c>
      <c r="AU155" s="153">
        <f t="shared" si="248"/>
        <v>0.69304229195088674</v>
      </c>
      <c r="AW155" s="5">
        <f t="shared" si="216"/>
        <v>2.1643700787401579</v>
      </c>
      <c r="AX155" s="5"/>
      <c r="AY155" s="5">
        <f t="shared" si="217"/>
        <v>2.7054625984251972</v>
      </c>
      <c r="AZ155" s="5"/>
      <c r="BA155" s="5">
        <f t="shared" si="218"/>
        <v>0.47339678012689379</v>
      </c>
      <c r="BB155" s="5"/>
      <c r="BC155" s="5"/>
      <c r="BD155" s="153">
        <f t="shared" si="219"/>
        <v>0.27740832824093048</v>
      </c>
      <c r="BE155" s="153">
        <f t="shared" si="220"/>
        <v>0.18462006437312373</v>
      </c>
      <c r="BF155" s="153">
        <f t="shared" si="221"/>
        <v>0.18389606412068016</v>
      </c>
      <c r="BG155" s="153"/>
      <c r="BH155" s="463">
        <f t="shared" si="222"/>
        <v>2.6934383202099739E-2</v>
      </c>
      <c r="BI155" s="463">
        <f t="shared" si="223"/>
        <v>6.0960000000000016E-3</v>
      </c>
      <c r="BJ155" s="463">
        <f t="shared" si="224"/>
        <v>9.0057678456100909E-4</v>
      </c>
      <c r="BK155" s="463">
        <f t="shared" si="225"/>
        <v>3.0967680000000006E-3</v>
      </c>
      <c r="BL155">
        <f t="shared" si="226"/>
        <v>2.6099999999999999E-3</v>
      </c>
      <c r="BM155">
        <f t="shared" si="268"/>
        <v>7.204614276488073E-7</v>
      </c>
      <c r="BN155">
        <f t="shared" si="269"/>
        <v>4.3490712653876794E-2</v>
      </c>
      <c r="BO155" s="147">
        <f t="shared" si="229"/>
        <v>39.637727986660749</v>
      </c>
      <c r="BP155" s="153">
        <f t="shared" si="230"/>
        <v>1.8000000000000002E-2</v>
      </c>
      <c r="BQ155" s="153">
        <f t="shared" si="231"/>
        <v>1.8000000000000002E-2</v>
      </c>
      <c r="BR155" s="463"/>
      <c r="BT155" s="147">
        <f t="shared" si="232"/>
        <v>36.000000000000007</v>
      </c>
      <c r="BU155" s="463">
        <f t="shared" si="233"/>
        <v>6.1564304461942269E-2</v>
      </c>
      <c r="BV155" s="463">
        <f t="shared" si="234"/>
        <v>2.7131316262632533E-2</v>
      </c>
      <c r="BW155" s="463">
        <f t="shared" si="235"/>
        <v>1.6908881199538654E-3</v>
      </c>
      <c r="BX155" s="463">
        <f t="shared" si="236"/>
        <v>0</v>
      </c>
      <c r="BY155" s="463">
        <f t="shared" si="180"/>
        <v>0.10197022854299854</v>
      </c>
      <c r="BZ155" s="463">
        <f t="shared" si="250"/>
        <v>9.0386508844528674E-2</v>
      </c>
      <c r="CA155" s="549">
        <f t="shared" si="270"/>
        <v>3.6000000000000004E-2</v>
      </c>
      <c r="CB155" s="147">
        <f t="shared" si="238"/>
        <v>318.74324623205598</v>
      </c>
      <c r="CC155" s="153">
        <f t="shared" si="251"/>
        <v>0.21746094119687534</v>
      </c>
      <c r="CD155" s="5">
        <f t="shared" si="239"/>
        <v>1.62</v>
      </c>
      <c r="CE155" s="153">
        <f t="shared" si="240"/>
        <v>0.8816513938765812</v>
      </c>
      <c r="CF155" s="5">
        <f t="shared" si="241"/>
        <v>88.165139387658115</v>
      </c>
      <c r="CG155">
        <f t="shared" si="242"/>
        <v>45</v>
      </c>
      <c r="CI155" s="59">
        <f t="shared" si="271"/>
        <v>-50</v>
      </c>
      <c r="CJ155">
        <f t="shared" si="272"/>
        <v>-50</v>
      </c>
    </row>
    <row r="156" spans="5:88" s="59" customFormat="1" x14ac:dyDescent="0.25">
      <c r="E156" s="150">
        <v>46</v>
      </c>
      <c r="F156" s="191">
        <f t="shared" si="273"/>
        <v>4.6000000000000006E-2</v>
      </c>
      <c r="G156" s="191">
        <f t="shared" si="252"/>
        <v>4.6000000000000006E-2</v>
      </c>
      <c r="H156" s="191">
        <f t="shared" si="253"/>
        <v>0.92000000000000015</v>
      </c>
      <c r="I156" s="191">
        <f t="shared" si="254"/>
        <v>0.7360000000000001</v>
      </c>
      <c r="J156" s="472">
        <f t="shared" si="186"/>
        <v>9</v>
      </c>
      <c r="K156" s="386">
        <f t="shared" si="187"/>
        <v>20.32</v>
      </c>
      <c r="L156" s="386">
        <f t="shared" si="188"/>
        <v>29.32</v>
      </c>
      <c r="M156" s="386"/>
      <c r="N156" s="191">
        <f t="shared" si="189"/>
        <v>0.69304229195088674</v>
      </c>
      <c r="O156" s="152">
        <f t="shared" si="255"/>
        <v>1.1695088676671213</v>
      </c>
      <c r="P156" s="152">
        <f t="shared" si="256"/>
        <v>1.6840927694406547</v>
      </c>
      <c r="Q156" s="191">
        <f t="shared" si="192"/>
        <v>5.8475443383356064E-2</v>
      </c>
      <c r="R156" s="191">
        <f t="shared" si="257"/>
        <v>7.3094304229195078E-2</v>
      </c>
      <c r="S156" s="191">
        <f t="shared" si="258"/>
        <v>20</v>
      </c>
      <c r="T156" s="191">
        <f t="shared" si="259"/>
        <v>0.58999125109361339</v>
      </c>
      <c r="U156" s="191">
        <f t="shared" si="196"/>
        <v>9.8331875182268913</v>
      </c>
      <c r="V156" s="191">
        <f t="shared" si="197"/>
        <v>4.3552503771674216</v>
      </c>
      <c r="W156" s="175">
        <f t="shared" si="198"/>
        <v>277.21691678035478</v>
      </c>
      <c r="X156" s="386">
        <f t="shared" si="199"/>
        <v>70.479922269992002</v>
      </c>
      <c r="Z156" s="191">
        <f t="shared" si="200"/>
        <v>0.14999999999999997</v>
      </c>
      <c r="AA156" s="469">
        <f t="shared" si="201"/>
        <v>1.1072834645669287</v>
      </c>
      <c r="AB156" s="153">
        <f t="shared" si="260"/>
        <v>1.2789904502046381E-2</v>
      </c>
      <c r="AC156" s="469"/>
      <c r="AD156" s="469">
        <f t="shared" si="203"/>
        <v>1.1072834645669289</v>
      </c>
      <c r="AE156" s="317">
        <f t="shared" si="261"/>
        <v>553.90814814814837</v>
      </c>
      <c r="AF156" s="463">
        <f t="shared" si="262"/>
        <v>2.3021828103683497E-2</v>
      </c>
      <c r="AH156" s="153">
        <f t="shared" si="263"/>
        <v>0.25116869686669613</v>
      </c>
      <c r="AI156" s="469">
        <f t="shared" si="264"/>
        <v>0.58999125109361339</v>
      </c>
      <c r="AJ156" s="469">
        <f t="shared" si="265"/>
        <v>1.5259194452545284</v>
      </c>
      <c r="AL156" s="491">
        <f t="shared" si="266"/>
        <v>46.000000000000007</v>
      </c>
      <c r="AM156" s="492">
        <f t="shared" si="267"/>
        <v>70.479922269992002</v>
      </c>
      <c r="AO156" s="59">
        <f t="shared" si="211"/>
        <v>46.000000000000007</v>
      </c>
      <c r="AP156" s="59">
        <f t="shared" si="212"/>
        <v>70.479922269992002</v>
      </c>
      <c r="AR156" s="170">
        <f t="shared" si="249"/>
        <v>14.188437895394312</v>
      </c>
      <c r="AS156" s="5">
        <f t="shared" si="246"/>
        <v>9.8331875182268913</v>
      </c>
      <c r="AT156" s="5">
        <f t="shared" si="247"/>
        <v>4.3552503771674207</v>
      </c>
      <c r="AU156" s="153">
        <f t="shared" si="248"/>
        <v>0.69304229195088685</v>
      </c>
      <c r="AW156" s="5">
        <f t="shared" si="216"/>
        <v>2.2616331291921856</v>
      </c>
      <c r="AX156" s="5"/>
      <c r="AY156" s="5">
        <f t="shared" si="217"/>
        <v>2.827041411490232</v>
      </c>
      <c r="AZ156" s="5"/>
      <c r="BA156" s="5">
        <f t="shared" si="218"/>
        <v>0.49467041320913924</v>
      </c>
      <c r="BB156" s="5"/>
      <c r="BC156" s="5"/>
      <c r="BD156" s="153">
        <f t="shared" si="219"/>
        <v>0.28357295775739566</v>
      </c>
      <c r="BE156" s="153">
        <f t="shared" si="220"/>
        <v>0.18872273247030424</v>
      </c>
      <c r="BF156" s="153">
        <f t="shared" si="221"/>
        <v>0.18798264332336187</v>
      </c>
      <c r="BG156" s="153"/>
      <c r="BH156" s="463">
        <f t="shared" si="222"/>
        <v>2.8144767829947195E-2</v>
      </c>
      <c r="BI156" s="463">
        <f t="shared" si="223"/>
        <v>6.0959999999999999E-3</v>
      </c>
      <c r="BJ156" s="463">
        <f t="shared" si="224"/>
        <v>8.8099902837489991E-4</v>
      </c>
      <c r="BK156" s="463">
        <f t="shared" si="225"/>
        <v>3.0294469565217393E-3</v>
      </c>
      <c r="BL156">
        <f t="shared" si="226"/>
        <v>2.6099999999999999E-3</v>
      </c>
      <c r="BM156">
        <f t="shared" si="268"/>
        <v>7.0479922269992E-7</v>
      </c>
      <c r="BN156">
        <f t="shared" si="269"/>
        <v>4.4794064844545532E-2</v>
      </c>
      <c r="BO156" s="147">
        <f t="shared" si="229"/>
        <v>40.761213814843835</v>
      </c>
      <c r="BP156" s="153">
        <f t="shared" si="230"/>
        <v>1.8400000000000003E-2</v>
      </c>
      <c r="BQ156" s="153">
        <f t="shared" si="231"/>
        <v>1.8400000000000003E-2</v>
      </c>
      <c r="BR156" s="463"/>
      <c r="BS156"/>
      <c r="BT156" s="147">
        <f t="shared" si="232"/>
        <v>36.800000000000004</v>
      </c>
      <c r="BU156" s="463">
        <f t="shared" si="233"/>
        <v>6.4330897897022163E-2</v>
      </c>
      <c r="BV156" s="463">
        <f t="shared" si="234"/>
        <v>2.8350550721842192E-2</v>
      </c>
      <c r="BW156" s="463">
        <f t="shared" si="235"/>
        <v>1.7668737095419146E-3</v>
      </c>
      <c r="BX156" s="463">
        <f t="shared" si="236"/>
        <v>0</v>
      </c>
      <c r="BY156" s="463">
        <f t="shared" si="180"/>
        <v>0.10658748171414387</v>
      </c>
      <c r="BZ156" s="463">
        <f t="shared" si="250"/>
        <v>9.4448322328406262E-2</v>
      </c>
      <c r="CA156" s="549">
        <f t="shared" si="270"/>
        <v>3.6800000000000006E-2</v>
      </c>
      <c r="CB156" s="147">
        <f t="shared" si="238"/>
        <v>332.28412637095641</v>
      </c>
      <c r="CC156" s="153">
        <f t="shared" si="251"/>
        <v>0.2249815465586894</v>
      </c>
      <c r="CD156" s="5">
        <f t="shared" si="239"/>
        <v>1.6560000000000001</v>
      </c>
      <c r="CE156" s="153">
        <f t="shared" si="240"/>
        <v>0.88039141214846062</v>
      </c>
      <c r="CF156" s="5">
        <f t="shared" si="241"/>
        <v>88.039141214846069</v>
      </c>
      <c r="CG156">
        <f t="shared" si="242"/>
        <v>46</v>
      </c>
      <c r="CI156" s="59">
        <f t="shared" si="271"/>
        <v>-50</v>
      </c>
      <c r="CJ156">
        <f t="shared" si="272"/>
        <v>-50</v>
      </c>
    </row>
    <row r="157" spans="5:88" x14ac:dyDescent="0.25">
      <c r="E157" s="150">
        <v>47</v>
      </c>
      <c r="F157" s="191">
        <f t="shared" si="273"/>
        <v>4.7E-2</v>
      </c>
      <c r="G157" s="191">
        <f t="shared" si="252"/>
        <v>4.7E-2</v>
      </c>
      <c r="H157" s="191">
        <f t="shared" si="253"/>
        <v>0.94</v>
      </c>
      <c r="I157" s="191">
        <f t="shared" si="254"/>
        <v>0.752</v>
      </c>
      <c r="J157" s="472">
        <f t="shared" si="186"/>
        <v>9</v>
      </c>
      <c r="K157" s="386">
        <f t="shared" si="187"/>
        <v>20.32</v>
      </c>
      <c r="L157" s="386">
        <f t="shared" si="188"/>
        <v>29.32</v>
      </c>
      <c r="M157" s="386"/>
      <c r="N157" s="191">
        <f t="shared" si="189"/>
        <v>0.69304229195088674</v>
      </c>
      <c r="O157" s="152">
        <f t="shared" si="255"/>
        <v>1.1695088676671213</v>
      </c>
      <c r="P157" s="152">
        <f t="shared" si="256"/>
        <v>1.6840927694406547</v>
      </c>
      <c r="Q157" s="191">
        <f t="shared" si="192"/>
        <v>5.8475443383356064E-2</v>
      </c>
      <c r="R157" s="191">
        <f t="shared" si="257"/>
        <v>7.3094304229195078E-2</v>
      </c>
      <c r="S157" s="191">
        <f t="shared" si="258"/>
        <v>20</v>
      </c>
      <c r="T157" s="191">
        <f t="shared" si="259"/>
        <v>0.60281714785651797</v>
      </c>
      <c r="U157" s="191">
        <f t="shared" si="196"/>
        <v>10.046952464275298</v>
      </c>
      <c r="V157" s="191">
        <f t="shared" si="197"/>
        <v>4.4499297331927998</v>
      </c>
      <c r="W157" s="175">
        <f t="shared" si="198"/>
        <v>277.21691678035478</v>
      </c>
      <c r="X157" s="386">
        <f t="shared" si="199"/>
        <v>68.980349455736857</v>
      </c>
      <c r="Z157" s="191">
        <f t="shared" si="200"/>
        <v>0.14999999999999997</v>
      </c>
      <c r="AA157" s="153">
        <f t="shared" si="201"/>
        <v>1.1072834645669287</v>
      </c>
      <c r="AB157" s="153">
        <f t="shared" si="260"/>
        <v>1.2789904502046381E-2</v>
      </c>
      <c r="AC157" s="153"/>
      <c r="AD157" s="153">
        <f t="shared" si="203"/>
        <v>1.1072834645669289</v>
      </c>
      <c r="AE157" s="317">
        <f t="shared" si="261"/>
        <v>565.94962962962961</v>
      </c>
      <c r="AF157" s="463">
        <f t="shared" si="262"/>
        <v>2.3021828103683497E-2</v>
      </c>
      <c r="AH157" s="153">
        <f t="shared" si="263"/>
        <v>0.25388411304597786</v>
      </c>
      <c r="AI157" s="153">
        <f t="shared" si="264"/>
        <v>0.60281714785651797</v>
      </c>
      <c r="AJ157" s="153">
        <f t="shared" si="265"/>
        <v>1.5354201095233466</v>
      </c>
      <c r="AL157" s="317">
        <f t="shared" si="266"/>
        <v>47</v>
      </c>
      <c r="AM157" s="147">
        <f t="shared" si="267"/>
        <v>68.980349455736857</v>
      </c>
      <c r="AO157">
        <f t="shared" si="211"/>
        <v>47</v>
      </c>
      <c r="AP157">
        <f t="shared" si="212"/>
        <v>68.980349455736857</v>
      </c>
      <c r="AR157" s="5">
        <f t="shared" si="249"/>
        <v>14.4968821974681</v>
      </c>
      <c r="AS157" s="5">
        <f t="shared" si="246"/>
        <v>10.046952464275298</v>
      </c>
      <c r="AT157" s="5">
        <f t="shared" si="247"/>
        <v>4.4499297331928016</v>
      </c>
      <c r="AU157" s="153">
        <f t="shared" si="248"/>
        <v>0.69304229195088662</v>
      </c>
      <c r="AW157" s="5">
        <f t="shared" si="216"/>
        <v>2.3610338291046951</v>
      </c>
      <c r="AX157" s="5"/>
      <c r="AY157" s="5">
        <f t="shared" si="217"/>
        <v>2.9512922863808688</v>
      </c>
      <c r="AZ157" s="5"/>
      <c r="BA157" s="5">
        <f t="shared" si="218"/>
        <v>0.51641159866681885</v>
      </c>
      <c r="BB157" s="5"/>
      <c r="BC157" s="5"/>
      <c r="BD157" s="153">
        <f t="shared" si="219"/>
        <v>0.28973758727386068</v>
      </c>
      <c r="BE157" s="153">
        <f t="shared" si="220"/>
        <v>0.19282540056748482</v>
      </c>
      <c r="BF157" s="153">
        <f t="shared" si="221"/>
        <v>0.19206922252604372</v>
      </c>
      <c r="BG157" s="153"/>
      <c r="BH157" s="463">
        <f t="shared" si="222"/>
        <v>2.9381754317747307E-2</v>
      </c>
      <c r="BI157" s="463">
        <f t="shared" si="223"/>
        <v>6.0959999999999999E-3</v>
      </c>
      <c r="BJ157" s="463">
        <f t="shared" si="224"/>
        <v>8.6225436819671066E-4</v>
      </c>
      <c r="BK157" s="463">
        <f t="shared" si="225"/>
        <v>2.9649906382978723E-3</v>
      </c>
      <c r="BL157">
        <f t="shared" si="226"/>
        <v>2.6099999999999999E-3</v>
      </c>
      <c r="BM157">
        <f t="shared" si="268"/>
        <v>6.8980349455736856E-7</v>
      </c>
      <c r="BN157">
        <f t="shared" si="269"/>
        <v>4.6132306132294576E-2</v>
      </c>
      <c r="BO157" s="147">
        <f t="shared" si="229"/>
        <v>41.91499932424189</v>
      </c>
      <c r="BP157" s="153">
        <f t="shared" si="230"/>
        <v>1.8800000000000001E-2</v>
      </c>
      <c r="BQ157" s="153">
        <f t="shared" si="231"/>
        <v>1.8800000000000001E-2</v>
      </c>
      <c r="BR157" s="463"/>
      <c r="BT157" s="147">
        <f t="shared" si="232"/>
        <v>37.6</v>
      </c>
      <c r="BU157" s="463">
        <f t="shared" si="233"/>
        <v>6.7158295583422428E-2</v>
      </c>
      <c r="BV157" s="463">
        <f t="shared" si="234"/>
        <v>2.9596581542792735E-2</v>
      </c>
      <c r="BW157" s="463">
        <f t="shared" si="235"/>
        <v>1.844529312087945E-3</v>
      </c>
      <c r="BX157" s="463">
        <f t="shared" si="236"/>
        <v>0</v>
      </c>
      <c r="BY157" s="463">
        <f t="shared" si="180"/>
        <v>0.11130933798339576</v>
      </c>
      <c r="BZ157" s="463">
        <f t="shared" si="250"/>
        <v>9.8599406438303117E-2</v>
      </c>
      <c r="CA157" s="549">
        <f t="shared" si="270"/>
        <v>3.7600000000000001E-2</v>
      </c>
      <c r="CB157" s="147">
        <f t="shared" si="238"/>
        <v>346.10815086000201</v>
      </c>
      <c r="CC157" s="153">
        <f t="shared" si="251"/>
        <v>0.23264164411569033</v>
      </c>
      <c r="CD157" s="5">
        <f t="shared" si="239"/>
        <v>1.6919999999999999</v>
      </c>
      <c r="CE157" s="153">
        <f t="shared" si="240"/>
        <v>0.87912469584820729</v>
      </c>
      <c r="CF157" s="5">
        <f t="shared" si="241"/>
        <v>87.912469584820727</v>
      </c>
      <c r="CG157">
        <f t="shared" si="242"/>
        <v>47</v>
      </c>
      <c r="CI157" s="59">
        <f t="shared" si="271"/>
        <v>-50</v>
      </c>
      <c r="CJ157">
        <f t="shared" si="272"/>
        <v>-50</v>
      </c>
    </row>
    <row r="158" spans="5:88" x14ac:dyDescent="0.25">
      <c r="E158" s="150">
        <v>48</v>
      </c>
      <c r="F158" s="191">
        <f t="shared" si="273"/>
        <v>4.8000000000000001E-2</v>
      </c>
      <c r="G158" s="191">
        <f t="shared" si="252"/>
        <v>4.8000000000000001E-2</v>
      </c>
      <c r="H158" s="191">
        <f t="shared" si="253"/>
        <v>0.96</v>
      </c>
      <c r="I158" s="191">
        <f t="shared" si="254"/>
        <v>0.76800000000000002</v>
      </c>
      <c r="J158" s="472">
        <f t="shared" si="186"/>
        <v>9</v>
      </c>
      <c r="K158" s="386">
        <f t="shared" si="187"/>
        <v>20.32</v>
      </c>
      <c r="L158" s="386">
        <f t="shared" si="188"/>
        <v>29.32</v>
      </c>
      <c r="M158" s="386"/>
      <c r="N158" s="191">
        <f t="shared" si="189"/>
        <v>0.69304229195088674</v>
      </c>
      <c r="O158" s="152">
        <f t="shared" si="255"/>
        <v>1.1695088676671213</v>
      </c>
      <c r="P158" s="152">
        <f t="shared" si="256"/>
        <v>1.6840927694406547</v>
      </c>
      <c r="Q158" s="191">
        <f t="shared" si="192"/>
        <v>5.8475443383356064E-2</v>
      </c>
      <c r="R158" s="191">
        <f t="shared" si="257"/>
        <v>7.3094304229195078E-2</v>
      </c>
      <c r="S158" s="191">
        <f t="shared" si="258"/>
        <v>20</v>
      </c>
      <c r="T158" s="191">
        <f t="shared" si="259"/>
        <v>0.61564304461942265</v>
      </c>
      <c r="U158" s="191">
        <f t="shared" si="196"/>
        <v>10.260717410323711</v>
      </c>
      <c r="V158" s="191">
        <f t="shared" si="197"/>
        <v>4.544609089218179</v>
      </c>
      <c r="W158" s="175">
        <f t="shared" si="198"/>
        <v>277.21691678035478</v>
      </c>
      <c r="X158" s="386">
        <f t="shared" si="199"/>
        <v>67.543258842075673</v>
      </c>
      <c r="Z158" s="191">
        <f t="shared" si="200"/>
        <v>0.14999999999999997</v>
      </c>
      <c r="AA158" s="153">
        <f t="shared" si="201"/>
        <v>1.1072834645669287</v>
      </c>
      <c r="AB158" s="153">
        <f t="shared" si="260"/>
        <v>1.2789904502046381E-2</v>
      </c>
      <c r="AC158" s="153"/>
      <c r="AD158" s="153">
        <f t="shared" si="203"/>
        <v>1.1072834645669289</v>
      </c>
      <c r="AE158" s="317">
        <f t="shared" si="261"/>
        <v>577.99111111111108</v>
      </c>
      <c r="AF158" s="463">
        <f t="shared" si="262"/>
        <v>2.3021828103683497E-2</v>
      </c>
      <c r="AH158" s="153">
        <f t="shared" si="263"/>
        <v>0.25657079223592744</v>
      </c>
      <c r="AI158" s="153">
        <f t="shared" si="264"/>
        <v>0.61564304461942265</v>
      </c>
      <c r="AJ158" s="153">
        <f t="shared" si="265"/>
        <v>1.5449207737921649</v>
      </c>
      <c r="AL158" s="317">
        <f t="shared" si="266"/>
        <v>48</v>
      </c>
      <c r="AM158" s="147">
        <f t="shared" si="267"/>
        <v>67.543258842075673</v>
      </c>
      <c r="AO158">
        <f t="shared" si="211"/>
        <v>48</v>
      </c>
      <c r="AP158">
        <f t="shared" si="212"/>
        <v>67.543258842075673</v>
      </c>
      <c r="AR158" s="5">
        <f t="shared" si="249"/>
        <v>14.80532649954189</v>
      </c>
      <c r="AS158" s="5">
        <f t="shared" si="246"/>
        <v>10.260717410323711</v>
      </c>
      <c r="AT158" s="5">
        <f t="shared" si="247"/>
        <v>4.544609089218179</v>
      </c>
      <c r="AU158" s="153">
        <f t="shared" si="248"/>
        <v>0.69304229195088674</v>
      </c>
      <c r="AW158" s="5">
        <f t="shared" si="216"/>
        <v>2.4625721784776906</v>
      </c>
      <c r="AX158" s="5"/>
      <c r="AY158" s="5">
        <f t="shared" si="217"/>
        <v>3.0782152230971134</v>
      </c>
      <c r="AZ158" s="5"/>
      <c r="BA158" s="5">
        <f t="shared" si="218"/>
        <v>0.53862033649993235</v>
      </c>
      <c r="BB158" s="5"/>
      <c r="BC158" s="5"/>
      <c r="BD158" s="153">
        <f t="shared" si="219"/>
        <v>0.29590221679032586</v>
      </c>
      <c r="BE158" s="153">
        <f t="shared" si="220"/>
        <v>0.19692806866466533</v>
      </c>
      <c r="BF158" s="153">
        <f t="shared" si="221"/>
        <v>0.19615580172872549</v>
      </c>
      <c r="BG158" s="153"/>
      <c r="BH158" s="463">
        <f t="shared" si="222"/>
        <v>3.0645342665500151E-2</v>
      </c>
      <c r="BI158" s="463">
        <f t="shared" si="223"/>
        <v>6.0959999999999999E-3</v>
      </c>
      <c r="BJ158" s="463">
        <f t="shared" si="224"/>
        <v>8.4429073552594596E-4</v>
      </c>
      <c r="BK158" s="463">
        <f t="shared" si="225"/>
        <v>2.9032200000000002E-3</v>
      </c>
      <c r="BL158">
        <f t="shared" si="226"/>
        <v>2.6099999999999999E-3</v>
      </c>
      <c r="BM158">
        <f t="shared" si="268"/>
        <v>6.7543258842075671E-7</v>
      </c>
      <c r="BN158">
        <f t="shared" si="269"/>
        <v>4.7505247887140604E-2</v>
      </c>
      <c r="BO158" s="147">
        <f t="shared" si="229"/>
        <v>43.098853401026091</v>
      </c>
      <c r="BP158" s="153">
        <f t="shared" si="230"/>
        <v>1.9200000000000002E-2</v>
      </c>
      <c r="BQ158" s="153">
        <f t="shared" si="231"/>
        <v>1.9200000000000002E-2</v>
      </c>
      <c r="BR158" s="463"/>
      <c r="BT158" s="147">
        <f t="shared" si="232"/>
        <v>38.400000000000006</v>
      </c>
      <c r="BU158" s="463">
        <f t="shared" si="233"/>
        <v>7.0046497521143211E-2</v>
      </c>
      <c r="BV158" s="463">
        <f t="shared" si="234"/>
        <v>3.0869408725484136E-2</v>
      </c>
      <c r="BW158" s="463">
        <f t="shared" si="235"/>
        <v>1.9238549275919531E-3</v>
      </c>
      <c r="BX158" s="463">
        <f t="shared" si="236"/>
        <v>0</v>
      </c>
      <c r="BY158" s="463">
        <f t="shared" si="180"/>
        <v>0.11613600443188589</v>
      </c>
      <c r="BZ158" s="463">
        <f t="shared" si="250"/>
        <v>0.10283976117421929</v>
      </c>
      <c r="CA158" s="549">
        <f t="shared" si="270"/>
        <v>3.8400000000000004E-2</v>
      </c>
      <c r="CB158" s="147">
        <f t="shared" si="238"/>
        <v>360.21552678032447</v>
      </c>
      <c r="CC158" s="153">
        <f t="shared" si="251"/>
        <v>0.24044125231902647</v>
      </c>
      <c r="CD158" s="5">
        <f t="shared" si="239"/>
        <v>1.728</v>
      </c>
      <c r="CE158" s="153">
        <f t="shared" si="240"/>
        <v>0.87785195416131323</v>
      </c>
      <c r="CF158" s="5">
        <f t="shared" si="241"/>
        <v>87.78519541613133</v>
      </c>
      <c r="CG158">
        <f t="shared" si="242"/>
        <v>48</v>
      </c>
      <c r="CI158" s="59">
        <f t="shared" si="271"/>
        <v>-50</v>
      </c>
      <c r="CJ158">
        <f t="shared" si="272"/>
        <v>-50</v>
      </c>
    </row>
    <row r="159" spans="5:88" x14ac:dyDescent="0.25">
      <c r="E159" s="150">
        <v>49</v>
      </c>
      <c r="F159" s="191">
        <f t="shared" si="273"/>
        <v>4.9000000000000002E-2</v>
      </c>
      <c r="G159" s="191">
        <f t="shared" si="252"/>
        <v>4.9000000000000002E-2</v>
      </c>
      <c r="H159" s="191">
        <f t="shared" si="253"/>
        <v>0.98</v>
      </c>
      <c r="I159" s="191">
        <f t="shared" si="254"/>
        <v>0.78400000000000003</v>
      </c>
      <c r="J159" s="472">
        <f t="shared" si="186"/>
        <v>9</v>
      </c>
      <c r="K159" s="386">
        <f t="shared" si="187"/>
        <v>20.32</v>
      </c>
      <c r="L159" s="386">
        <f t="shared" si="188"/>
        <v>29.32</v>
      </c>
      <c r="M159" s="386"/>
      <c r="N159" s="191">
        <f t="shared" si="189"/>
        <v>0.69304229195088674</v>
      </c>
      <c r="O159" s="152">
        <f t="shared" si="255"/>
        <v>1.1695088676671213</v>
      </c>
      <c r="P159" s="152">
        <f t="shared" si="256"/>
        <v>1.6840927694406547</v>
      </c>
      <c r="Q159" s="191">
        <f t="shared" si="192"/>
        <v>5.8475443383356064E-2</v>
      </c>
      <c r="R159" s="191">
        <f t="shared" si="257"/>
        <v>7.3094304229195078E-2</v>
      </c>
      <c r="S159" s="191">
        <f t="shared" si="258"/>
        <v>20</v>
      </c>
      <c r="T159" s="191">
        <f t="shared" si="259"/>
        <v>0.62846894138232723</v>
      </c>
      <c r="U159" s="191">
        <f t="shared" si="196"/>
        <v>10.474482356372119</v>
      </c>
      <c r="V159" s="191">
        <f t="shared" si="197"/>
        <v>4.6392884452435572</v>
      </c>
      <c r="W159" s="175">
        <f t="shared" si="198"/>
        <v>277.21691678035478</v>
      </c>
      <c r="X159" s="386">
        <f t="shared" si="199"/>
        <v>66.164824988155772</v>
      </c>
      <c r="Z159" s="191">
        <f t="shared" si="200"/>
        <v>0.14999999999999997</v>
      </c>
      <c r="AA159" s="153">
        <f t="shared" si="201"/>
        <v>1.1072834645669287</v>
      </c>
      <c r="AB159" s="153">
        <f t="shared" si="260"/>
        <v>1.2789904502046381E-2</v>
      </c>
      <c r="AC159" s="153"/>
      <c r="AD159" s="153">
        <f t="shared" si="203"/>
        <v>1.1072834645669289</v>
      </c>
      <c r="AE159" s="317">
        <f t="shared" si="261"/>
        <v>590.03259259259266</v>
      </c>
      <c r="AF159" s="463">
        <f t="shared" si="262"/>
        <v>2.3021828103683497E-2</v>
      </c>
      <c r="AH159" s="153">
        <f t="shared" si="263"/>
        <v>0.25922962793631443</v>
      </c>
      <c r="AI159" s="153">
        <f t="shared" si="264"/>
        <v>0.62846894138232723</v>
      </c>
      <c r="AJ159" s="153">
        <f t="shared" si="265"/>
        <v>1.5544214380609831</v>
      </c>
      <c r="AL159" s="317">
        <f t="shared" si="266"/>
        <v>49</v>
      </c>
      <c r="AM159" s="147">
        <f t="shared" si="267"/>
        <v>66.164824988155772</v>
      </c>
      <c r="AO159">
        <f t="shared" si="211"/>
        <v>49</v>
      </c>
      <c r="AP159">
        <f t="shared" si="212"/>
        <v>66.164824988155772</v>
      </c>
      <c r="AR159" s="5">
        <f t="shared" si="249"/>
        <v>15.113770801615678</v>
      </c>
      <c r="AS159" s="5">
        <f t="shared" si="246"/>
        <v>10.474482356372119</v>
      </c>
      <c r="AT159" s="5">
        <f t="shared" si="247"/>
        <v>4.6392884452435581</v>
      </c>
      <c r="AU159" s="153">
        <f t="shared" si="248"/>
        <v>0.69304229195088674</v>
      </c>
      <c r="AW159" s="5">
        <f t="shared" si="216"/>
        <v>2.5662481773111692</v>
      </c>
      <c r="AX159" s="5"/>
      <c r="AY159" s="5">
        <f t="shared" si="217"/>
        <v>3.2078102216389617</v>
      </c>
      <c r="AZ159" s="5"/>
      <c r="BA159" s="5">
        <f t="shared" si="218"/>
        <v>0.5612966267084798</v>
      </c>
      <c r="BB159" s="5"/>
      <c r="BC159" s="5"/>
      <c r="BD159" s="153">
        <f t="shared" si="219"/>
        <v>0.30206684630679093</v>
      </c>
      <c r="BE159" s="153">
        <f t="shared" si="220"/>
        <v>0.20103073676184582</v>
      </c>
      <c r="BF159" s="153">
        <f t="shared" si="221"/>
        <v>0.20024238093140725</v>
      </c>
      <c r="BG159" s="153"/>
      <c r="BH159" s="463">
        <f t="shared" si="222"/>
        <v>3.1935532873205656E-2</v>
      </c>
      <c r="BI159" s="463">
        <f t="shared" si="223"/>
        <v>6.0959999999999999E-3</v>
      </c>
      <c r="BJ159" s="463">
        <f t="shared" si="224"/>
        <v>8.2706031235194705E-4</v>
      </c>
      <c r="BK159" s="463">
        <f t="shared" si="225"/>
        <v>2.8439706122448988E-3</v>
      </c>
      <c r="BL159">
        <f t="shared" si="226"/>
        <v>2.6099999999999999E-3</v>
      </c>
      <c r="BM159">
        <f t="shared" si="268"/>
        <v>6.6164824988155775E-7</v>
      </c>
      <c r="BN159">
        <f t="shared" si="269"/>
        <v>4.891272131361981E-2</v>
      </c>
      <c r="BO159" s="147">
        <f t="shared" si="229"/>
        <v>44.312563797802504</v>
      </c>
      <c r="BP159" s="153">
        <f t="shared" si="230"/>
        <v>1.9600000000000003E-2</v>
      </c>
      <c r="BQ159" s="153">
        <f t="shared" si="231"/>
        <v>1.9600000000000003E-2</v>
      </c>
      <c r="BR159" s="463"/>
      <c r="BT159" s="147">
        <f t="shared" si="232"/>
        <v>39.200000000000003</v>
      </c>
      <c r="BU159" s="463">
        <f t="shared" si="233"/>
        <v>7.2995503710184359E-2</v>
      </c>
      <c r="BV159" s="463">
        <f t="shared" si="234"/>
        <v>3.2169032269916402E-2</v>
      </c>
      <c r="BW159" s="463">
        <f t="shared" si="235"/>
        <v>2.0048505560539406E-3</v>
      </c>
      <c r="BX159" s="463">
        <f t="shared" si="236"/>
        <v>0</v>
      </c>
      <c r="BY159" s="463">
        <f t="shared" si="180"/>
        <v>0.12106769295112686</v>
      </c>
      <c r="BZ159" s="463">
        <f t="shared" si="250"/>
        <v>0.1071693865361547</v>
      </c>
      <c r="CA159" s="549">
        <f t="shared" si="270"/>
        <v>3.9200000000000006E-2</v>
      </c>
      <c r="CB159" s="147">
        <f t="shared" si="238"/>
        <v>374.60646602343627</v>
      </c>
      <c r="CC159" s="153">
        <f t="shared" si="251"/>
        <v>0.24838041426474669</v>
      </c>
      <c r="CD159" s="5">
        <f t="shared" si="239"/>
        <v>1.764</v>
      </c>
      <c r="CE159" s="153">
        <f t="shared" si="240"/>
        <v>0.87657382644747306</v>
      </c>
      <c r="CF159" s="5">
        <f t="shared" si="241"/>
        <v>87.657382644747301</v>
      </c>
      <c r="CG159">
        <f t="shared" si="242"/>
        <v>49</v>
      </c>
      <c r="CI159" s="59">
        <f t="shared" si="271"/>
        <v>-50</v>
      </c>
      <c r="CJ159">
        <f t="shared" si="272"/>
        <v>-50</v>
      </c>
    </row>
    <row r="160" spans="5:88" x14ac:dyDescent="0.25">
      <c r="E160" s="150">
        <v>50</v>
      </c>
      <c r="F160" s="191">
        <f t="shared" si="273"/>
        <v>0.05</v>
      </c>
      <c r="G160" s="191">
        <f t="shared" si="252"/>
        <v>0.05</v>
      </c>
      <c r="H160" s="191">
        <f t="shared" si="253"/>
        <v>1</v>
      </c>
      <c r="I160" s="191">
        <f t="shared" si="254"/>
        <v>0.8</v>
      </c>
      <c r="J160" s="472">
        <f t="shared" si="186"/>
        <v>9</v>
      </c>
      <c r="K160" s="386">
        <f t="shared" si="187"/>
        <v>20.32</v>
      </c>
      <c r="L160" s="386">
        <f t="shared" si="188"/>
        <v>29.32</v>
      </c>
      <c r="M160" s="386"/>
      <c r="N160" s="191">
        <f t="shared" si="189"/>
        <v>0.69304229195088674</v>
      </c>
      <c r="O160" s="152">
        <f t="shared" si="255"/>
        <v>1.1695088676671213</v>
      </c>
      <c r="P160" s="152">
        <f t="shared" si="256"/>
        <v>1.6840927694406547</v>
      </c>
      <c r="Q160" s="191">
        <f t="shared" si="192"/>
        <v>5.8475443383356064E-2</v>
      </c>
      <c r="R160" s="191">
        <f t="shared" si="257"/>
        <v>7.3094304229195078E-2</v>
      </c>
      <c r="S160" s="191">
        <f t="shared" si="258"/>
        <v>20</v>
      </c>
      <c r="T160" s="191">
        <f t="shared" si="259"/>
        <v>0.64129483814523192</v>
      </c>
      <c r="U160" s="191">
        <f t="shared" si="196"/>
        <v>10.688247302420532</v>
      </c>
      <c r="V160" s="191">
        <f t="shared" si="197"/>
        <v>4.7339678012689355</v>
      </c>
      <c r="W160" s="175">
        <f t="shared" si="198"/>
        <v>277.21691678035478</v>
      </c>
      <c r="X160" s="386">
        <f t="shared" si="199"/>
        <v>64.841528488392655</v>
      </c>
      <c r="Z160" s="191">
        <f t="shared" si="200"/>
        <v>0.14999999999999997</v>
      </c>
      <c r="AA160" s="153">
        <f t="shared" si="201"/>
        <v>1.1072834645669287</v>
      </c>
      <c r="AB160" s="153">
        <f t="shared" si="260"/>
        <v>1.2789904502046381E-2</v>
      </c>
      <c r="AC160" s="153"/>
      <c r="AD160" s="153">
        <f t="shared" si="203"/>
        <v>1.1072834645669289</v>
      </c>
      <c r="AE160" s="317">
        <f t="shared" si="261"/>
        <v>602.07407407407413</v>
      </c>
      <c r="AF160" s="463">
        <f t="shared" si="262"/>
        <v>2.3021828103683497E-2</v>
      </c>
      <c r="AH160" s="153">
        <f t="shared" si="263"/>
        <v>0.2618614682831909</v>
      </c>
      <c r="AI160" s="153">
        <f t="shared" si="264"/>
        <v>0.64129483814523192</v>
      </c>
      <c r="AJ160" s="153">
        <f t="shared" si="265"/>
        <v>1.5639221023298013</v>
      </c>
      <c r="AL160" s="317">
        <f t="shared" si="266"/>
        <v>50</v>
      </c>
      <c r="AM160" s="147">
        <f t="shared" si="267"/>
        <v>64.841528488392655</v>
      </c>
      <c r="AO160">
        <f t="shared" si="211"/>
        <v>50</v>
      </c>
      <c r="AP160">
        <f t="shared" si="212"/>
        <v>64.841528488392655</v>
      </c>
      <c r="AR160" s="5">
        <f t="shared" si="249"/>
        <v>15.422215103689465</v>
      </c>
      <c r="AS160" s="5">
        <f t="shared" si="246"/>
        <v>10.688247302420532</v>
      </c>
      <c r="AT160" s="5">
        <f t="shared" si="247"/>
        <v>4.7339678012689337</v>
      </c>
      <c r="AU160" s="153">
        <f t="shared" si="248"/>
        <v>0.69304229195088685</v>
      </c>
      <c r="AW160" s="5">
        <f t="shared" si="216"/>
        <v>2.6720618256051334</v>
      </c>
      <c r="AX160" s="5"/>
      <c r="AY160" s="5">
        <f t="shared" si="217"/>
        <v>3.3400772820064164</v>
      </c>
      <c r="AZ160" s="5"/>
      <c r="BA160" s="5">
        <f t="shared" si="218"/>
        <v>0.58444046929246096</v>
      </c>
      <c r="BB160" s="5"/>
      <c r="BC160" s="5"/>
      <c r="BD160" s="153">
        <f t="shared" si="219"/>
        <v>0.30823147582325611</v>
      </c>
      <c r="BE160" s="153">
        <f t="shared" si="220"/>
        <v>0.20513340485902634</v>
      </c>
      <c r="BF160" s="153">
        <f t="shared" si="221"/>
        <v>0.20432896013408902</v>
      </c>
      <c r="BG160" s="153"/>
      <c r="BH160" s="463">
        <f t="shared" si="222"/>
        <v>3.325232494086388E-2</v>
      </c>
      <c r="BI160" s="463">
        <f t="shared" si="223"/>
        <v>6.0960000000000016E-3</v>
      </c>
      <c r="BJ160" s="463">
        <f t="shared" si="224"/>
        <v>8.1051910610490817E-4</v>
      </c>
      <c r="BK160" s="463">
        <f t="shared" si="225"/>
        <v>2.7870912000000007E-3</v>
      </c>
      <c r="BL160">
        <f t="shared" si="226"/>
        <v>2.6099999999999999E-3</v>
      </c>
      <c r="BM160">
        <f t="shared" si="268"/>
        <v>6.484152848839266E-7</v>
      </c>
      <c r="BN160">
        <f t="shared" si="269"/>
        <v>5.0354575567083747E-2</v>
      </c>
      <c r="BO160" s="147">
        <f t="shared" si="229"/>
        <v>45.555935246968794</v>
      </c>
      <c r="BP160" s="153">
        <f t="shared" si="230"/>
        <v>2.0000000000000004E-2</v>
      </c>
      <c r="BQ160" s="153">
        <f t="shared" si="231"/>
        <v>2.0000000000000004E-2</v>
      </c>
      <c r="BR160" s="463"/>
      <c r="BT160" s="147">
        <f t="shared" si="232"/>
        <v>40.000000000000007</v>
      </c>
      <c r="BU160" s="463">
        <f t="shared" si="233"/>
        <v>7.6005314150546011E-2</v>
      </c>
      <c r="BV160" s="463">
        <f t="shared" si="234"/>
        <v>3.3495452176089541E-2</v>
      </c>
      <c r="BW160" s="463">
        <f t="shared" si="235"/>
        <v>2.0875161974739072E-3</v>
      </c>
      <c r="BX160" s="463">
        <f t="shared" si="236"/>
        <v>0</v>
      </c>
      <c r="BY160" s="463">
        <f t="shared" si="180"/>
        <v>0.12610462026651423</v>
      </c>
      <c r="BZ160" s="463">
        <f t="shared" si="250"/>
        <v>0.11158828252410946</v>
      </c>
      <c r="CA160" s="549">
        <f t="shared" si="270"/>
        <v>4.0000000000000008E-2</v>
      </c>
      <c r="CB160" s="147">
        <f t="shared" si="238"/>
        <v>389.28118531473319</v>
      </c>
      <c r="CC160" s="153">
        <f t="shared" si="251"/>
        <v>0.256459195833598</v>
      </c>
      <c r="CD160" s="5">
        <f t="shared" si="239"/>
        <v>1.8</v>
      </c>
      <c r="CE160" s="153">
        <f t="shared" si="240"/>
        <v>0.87529089011190386</v>
      </c>
      <c r="CF160" s="5">
        <f t="shared" si="241"/>
        <v>87.529089011190393</v>
      </c>
      <c r="CG160">
        <f t="shared" si="242"/>
        <v>50</v>
      </c>
      <c r="CI160" s="59">
        <f t="shared" si="271"/>
        <v>-50</v>
      </c>
      <c r="CJ160">
        <f t="shared" si="272"/>
        <v>-50</v>
      </c>
    </row>
    <row r="161" spans="5:88" x14ac:dyDescent="0.25">
      <c r="E161" s="150">
        <v>51</v>
      </c>
      <c r="F161" s="191">
        <f t="shared" si="273"/>
        <v>5.1000000000000004E-2</v>
      </c>
      <c r="G161" s="191">
        <f t="shared" si="252"/>
        <v>5.1000000000000004E-2</v>
      </c>
      <c r="H161" s="191">
        <f t="shared" si="253"/>
        <v>1.02</v>
      </c>
      <c r="I161" s="191">
        <f t="shared" si="254"/>
        <v>0.81600000000000006</v>
      </c>
      <c r="J161" s="472">
        <f t="shared" si="186"/>
        <v>9</v>
      </c>
      <c r="K161" s="386">
        <f t="shared" si="187"/>
        <v>20.32</v>
      </c>
      <c r="L161" s="386">
        <f t="shared" si="188"/>
        <v>29.32</v>
      </c>
      <c r="M161" s="386"/>
      <c r="N161" s="191">
        <f t="shared" si="189"/>
        <v>0.69304229195088674</v>
      </c>
      <c r="O161" s="152">
        <f t="shared" si="255"/>
        <v>1.1695088676671213</v>
      </c>
      <c r="P161" s="152">
        <f t="shared" si="256"/>
        <v>1.6840927694406547</v>
      </c>
      <c r="Q161" s="191">
        <f t="shared" si="192"/>
        <v>5.8475443383356064E-2</v>
      </c>
      <c r="R161" s="191">
        <f t="shared" si="257"/>
        <v>7.3094304229195078E-2</v>
      </c>
      <c r="S161" s="191">
        <f t="shared" si="258"/>
        <v>20</v>
      </c>
      <c r="T161" s="191">
        <f t="shared" si="259"/>
        <v>0.6541207349081366</v>
      </c>
      <c r="U161" s="191">
        <f t="shared" si="196"/>
        <v>10.902012248468942</v>
      </c>
      <c r="V161" s="191">
        <f t="shared" si="197"/>
        <v>4.8286471572943146</v>
      </c>
      <c r="W161" s="175">
        <f t="shared" si="198"/>
        <v>277.21691678035478</v>
      </c>
      <c r="X161" s="386">
        <f t="shared" si="199"/>
        <v>63.570125969012402</v>
      </c>
      <c r="Z161" s="191">
        <f t="shared" si="200"/>
        <v>0.14999999999999997</v>
      </c>
      <c r="AA161" s="153">
        <f t="shared" si="201"/>
        <v>1.1072834645669287</v>
      </c>
      <c r="AB161" s="153">
        <f t="shared" si="260"/>
        <v>1.2789904502046381E-2</v>
      </c>
      <c r="AC161" s="153"/>
      <c r="AD161" s="153">
        <f t="shared" si="203"/>
        <v>1.1072834645669289</v>
      </c>
      <c r="AE161" s="317">
        <f t="shared" si="261"/>
        <v>614.1155555555556</v>
      </c>
      <c r="AF161" s="463">
        <f t="shared" si="262"/>
        <v>2.3021828103683497E-2</v>
      </c>
      <c r="AH161" s="153">
        <f t="shared" si="263"/>
        <v>0.26446711920928312</v>
      </c>
      <c r="AI161" s="153">
        <f t="shared" si="264"/>
        <v>0.6541207349081366</v>
      </c>
      <c r="AJ161" s="153">
        <f t="shared" si="265"/>
        <v>1.5734227665986196</v>
      </c>
      <c r="AL161" s="317">
        <f t="shared" si="266"/>
        <v>51.000000000000007</v>
      </c>
      <c r="AM161" s="147">
        <f t="shared" si="267"/>
        <v>63.570125969012402</v>
      </c>
      <c r="AO161">
        <f t="shared" si="211"/>
        <v>51.000000000000007</v>
      </c>
      <c r="AP161">
        <f t="shared" si="212"/>
        <v>63.570125969012402</v>
      </c>
      <c r="AR161" s="5">
        <f t="shared" si="249"/>
        <v>15.730659405763257</v>
      </c>
      <c r="AS161" s="5">
        <f t="shared" si="246"/>
        <v>10.902012248468942</v>
      </c>
      <c r="AT161" s="5">
        <f t="shared" si="247"/>
        <v>4.8286471572943146</v>
      </c>
      <c r="AU161" s="153">
        <f t="shared" si="248"/>
        <v>0.69304229195088674</v>
      </c>
      <c r="AW161" s="5">
        <f t="shared" si="216"/>
        <v>2.7800131233595802</v>
      </c>
      <c r="AX161" s="5"/>
      <c r="AY161" s="5">
        <f t="shared" si="217"/>
        <v>3.4750164041994758</v>
      </c>
      <c r="AZ161" s="5"/>
      <c r="BA161" s="5">
        <f t="shared" si="218"/>
        <v>0.60805186425187663</v>
      </c>
      <c r="BB161" s="5"/>
      <c r="BC161" s="5"/>
      <c r="BD161" s="153">
        <f t="shared" si="219"/>
        <v>0.31439610533972123</v>
      </c>
      <c r="BE161" s="153">
        <f t="shared" si="220"/>
        <v>0.20923607295620691</v>
      </c>
      <c r="BF161" s="153">
        <f t="shared" si="221"/>
        <v>0.20841553933677082</v>
      </c>
      <c r="BG161" s="153"/>
      <c r="BH161" s="463">
        <f t="shared" si="222"/>
        <v>3.4595718868474776E-2</v>
      </c>
      <c r="BI161" s="463">
        <f t="shared" si="223"/>
        <v>6.0959999999999999E-3</v>
      </c>
      <c r="BJ161" s="463">
        <f t="shared" si="224"/>
        <v>7.9462657461265497E-4</v>
      </c>
      <c r="BK161" s="463">
        <f t="shared" si="225"/>
        <v>2.7324423529411766E-3</v>
      </c>
      <c r="BL161">
        <f t="shared" si="226"/>
        <v>2.6099999999999999E-3</v>
      </c>
      <c r="BM161">
        <f t="shared" si="268"/>
        <v>6.3570125969012403E-7</v>
      </c>
      <c r="BN161">
        <f t="shared" si="269"/>
        <v>5.183067609206915E-2</v>
      </c>
      <c r="BO161" s="147">
        <f t="shared" si="229"/>
        <v>46.828787796028607</v>
      </c>
      <c r="BP161" s="153">
        <f t="shared" si="230"/>
        <v>2.0400000000000001E-2</v>
      </c>
      <c r="BQ161" s="153">
        <f t="shared" si="231"/>
        <v>2.0400000000000001E-2</v>
      </c>
      <c r="BR161" s="463"/>
      <c r="BT161" s="147">
        <f t="shared" si="232"/>
        <v>40.800000000000004</v>
      </c>
      <c r="BU161" s="463">
        <f t="shared" si="233"/>
        <v>7.9075928842228083E-2</v>
      </c>
      <c r="BV161" s="463">
        <f t="shared" si="234"/>
        <v>3.4848668444003569E-2</v>
      </c>
      <c r="BW161" s="463">
        <f t="shared" si="235"/>
        <v>2.1718518518518532E-3</v>
      </c>
      <c r="BX161" s="463">
        <f t="shared" si="236"/>
        <v>0</v>
      </c>
      <c r="BY161" s="463">
        <f t="shared" si="180"/>
        <v>0.13124700796139885</v>
      </c>
      <c r="BZ161" s="463">
        <f t="shared" si="250"/>
        <v>0.11609644913808351</v>
      </c>
      <c r="CA161" s="549">
        <f t="shared" si="270"/>
        <v>4.0800000000000017E-2</v>
      </c>
      <c r="CB161" s="147">
        <f t="shared" si="238"/>
        <v>404.23990623756583</v>
      </c>
      <c r="CC161" s="153">
        <f t="shared" si="251"/>
        <v>0.26467768405346803</v>
      </c>
      <c r="CD161" s="5">
        <f t="shared" si="239"/>
        <v>1.8360000000000001</v>
      </c>
      <c r="CE161" s="153">
        <f t="shared" si="240"/>
        <v>0.87400366745328295</v>
      </c>
      <c r="CF161" s="5">
        <f t="shared" si="241"/>
        <v>87.400366745328299</v>
      </c>
      <c r="CG161">
        <f t="shared" si="242"/>
        <v>51</v>
      </c>
      <c r="CI161" s="59">
        <f t="shared" si="271"/>
        <v>-50</v>
      </c>
      <c r="CJ161">
        <f t="shared" si="272"/>
        <v>-50</v>
      </c>
    </row>
    <row r="162" spans="5:88" x14ac:dyDescent="0.25">
      <c r="E162" s="150">
        <v>52</v>
      </c>
      <c r="F162" s="191">
        <f t="shared" si="273"/>
        <v>5.2000000000000005E-2</v>
      </c>
      <c r="G162" s="191">
        <f t="shared" si="252"/>
        <v>5.2000000000000005E-2</v>
      </c>
      <c r="H162" s="191">
        <f t="shared" si="253"/>
        <v>1.04</v>
      </c>
      <c r="I162" s="191">
        <f t="shared" si="254"/>
        <v>0.83200000000000007</v>
      </c>
      <c r="J162" s="472">
        <f t="shared" si="186"/>
        <v>9</v>
      </c>
      <c r="K162" s="386">
        <f t="shared" si="187"/>
        <v>20.32</v>
      </c>
      <c r="L162" s="386">
        <f t="shared" si="188"/>
        <v>29.32</v>
      </c>
      <c r="M162" s="386"/>
      <c r="N162" s="191">
        <f t="shared" si="189"/>
        <v>0.69304229195088674</v>
      </c>
      <c r="O162" s="152">
        <f t="shared" si="255"/>
        <v>1.1695088676671213</v>
      </c>
      <c r="P162" s="152">
        <f t="shared" si="256"/>
        <v>1.6840927694406547</v>
      </c>
      <c r="Q162" s="191">
        <f t="shared" si="192"/>
        <v>5.8475443383356064E-2</v>
      </c>
      <c r="R162" s="191">
        <f t="shared" si="257"/>
        <v>7.3094304229195078E-2</v>
      </c>
      <c r="S162" s="191">
        <f t="shared" si="258"/>
        <v>20</v>
      </c>
      <c r="T162" s="191">
        <f t="shared" si="259"/>
        <v>0.66694663167104118</v>
      </c>
      <c r="U162" s="191">
        <f t="shared" si="196"/>
        <v>11.115777194517353</v>
      </c>
      <c r="V162" s="191">
        <f t="shared" si="197"/>
        <v>4.9233265133196928</v>
      </c>
      <c r="W162" s="175">
        <f t="shared" si="198"/>
        <v>277.21691678035478</v>
      </c>
      <c r="X162" s="386">
        <f t="shared" si="199"/>
        <v>62.347623546531395</v>
      </c>
      <c r="Z162" s="191">
        <f t="shared" si="200"/>
        <v>0.14999999999999997</v>
      </c>
      <c r="AA162" s="153">
        <f t="shared" si="201"/>
        <v>1.1072834645669287</v>
      </c>
      <c r="AB162" s="153">
        <f t="shared" si="260"/>
        <v>1.2789904502046381E-2</v>
      </c>
      <c r="AC162" s="153"/>
      <c r="AD162" s="153">
        <f t="shared" si="203"/>
        <v>1.1072834645669289</v>
      </c>
      <c r="AE162" s="317">
        <f t="shared" si="261"/>
        <v>626.15703703703707</v>
      </c>
      <c r="AF162" s="463">
        <f t="shared" si="262"/>
        <v>2.3021828103683497E-2</v>
      </c>
      <c r="AH162" s="153">
        <f t="shared" si="263"/>
        <v>0.26704734732680968</v>
      </c>
      <c r="AI162" s="153">
        <f t="shared" si="264"/>
        <v>0.66694663167104118</v>
      </c>
      <c r="AJ162" s="153">
        <f t="shared" si="265"/>
        <v>1.5829234308674378</v>
      </c>
      <c r="AL162" s="317">
        <f t="shared" si="266"/>
        <v>52.000000000000007</v>
      </c>
      <c r="AM162" s="147">
        <f t="shared" si="267"/>
        <v>62.347623546531395</v>
      </c>
      <c r="AO162">
        <f t="shared" si="211"/>
        <v>52.000000000000007</v>
      </c>
      <c r="AP162">
        <f t="shared" si="212"/>
        <v>62.347623546531395</v>
      </c>
      <c r="AR162" s="5">
        <f t="shared" si="249"/>
        <v>16.039103707837047</v>
      </c>
      <c r="AS162" s="5">
        <f t="shared" si="246"/>
        <v>11.115777194517353</v>
      </c>
      <c r="AT162" s="5">
        <f t="shared" si="247"/>
        <v>4.9233265133196937</v>
      </c>
      <c r="AU162" s="153">
        <f t="shared" si="248"/>
        <v>0.69304229195088674</v>
      </c>
      <c r="AW162" s="5">
        <f t="shared" si="216"/>
        <v>2.8901020705745117</v>
      </c>
      <c r="AX162" s="5"/>
      <c r="AY162" s="5">
        <f t="shared" si="217"/>
        <v>3.6126275882181398</v>
      </c>
      <c r="AZ162" s="5"/>
      <c r="BA162" s="5">
        <f t="shared" si="218"/>
        <v>0.63213081158672613</v>
      </c>
      <c r="BB162" s="5"/>
      <c r="BC162" s="5"/>
      <c r="BD162" s="153">
        <f t="shared" si="219"/>
        <v>0.32056073485618636</v>
      </c>
      <c r="BE162" s="153">
        <f t="shared" si="220"/>
        <v>0.21333874105338743</v>
      </c>
      <c r="BF162" s="153">
        <f t="shared" si="221"/>
        <v>0.21250211853945258</v>
      </c>
      <c r="BG162" s="153"/>
      <c r="BH162" s="463">
        <f t="shared" si="222"/>
        <v>3.5965714656038372E-2</v>
      </c>
      <c r="BI162" s="463">
        <f t="shared" si="223"/>
        <v>6.0959999999999999E-3</v>
      </c>
      <c r="BJ162" s="463">
        <f t="shared" si="224"/>
        <v>7.7934529433164236E-4</v>
      </c>
      <c r="BK162" s="463">
        <f t="shared" si="225"/>
        <v>2.679895384615385E-3</v>
      </c>
      <c r="BL162">
        <f t="shared" si="226"/>
        <v>2.6099999999999999E-3</v>
      </c>
      <c r="BM162">
        <f t="shared" si="268"/>
        <v>6.2347623546531397E-7</v>
      </c>
      <c r="BN162">
        <f t="shared" si="269"/>
        <v>5.3340903152858749E-2</v>
      </c>
      <c r="BO162" s="147">
        <f t="shared" si="229"/>
        <v>48.130955334985394</v>
      </c>
      <c r="BP162" s="153">
        <f t="shared" si="230"/>
        <v>2.0800000000000003E-2</v>
      </c>
      <c r="BQ162" s="153">
        <f t="shared" si="231"/>
        <v>2.0800000000000003E-2</v>
      </c>
      <c r="BR162" s="463"/>
      <c r="BT162" s="147">
        <f t="shared" si="232"/>
        <v>41.600000000000009</v>
      </c>
      <c r="BU162" s="463">
        <f t="shared" si="233"/>
        <v>8.2207347785230575E-2</v>
      </c>
      <c r="BV162" s="463">
        <f t="shared" si="234"/>
        <v>3.622868107365846E-2</v>
      </c>
      <c r="BW162" s="463">
        <f t="shared" si="235"/>
        <v>2.2578575191877777E-3</v>
      </c>
      <c r="BX162" s="463">
        <f t="shared" si="236"/>
        <v>0</v>
      </c>
      <c r="BY162" s="463">
        <f t="shared" si="180"/>
        <v>0.13649508250173653</v>
      </c>
      <c r="BZ162" s="463">
        <f t="shared" si="250"/>
        <v>0.12069388637807682</v>
      </c>
      <c r="CA162" s="549">
        <f t="shared" si="270"/>
        <v>4.1600000000000005E-2</v>
      </c>
      <c r="CB162" s="147">
        <f t="shared" si="238"/>
        <v>419.48285525789021</v>
      </c>
      <c r="CC162" s="153">
        <f t="shared" si="251"/>
        <v>0.2730359856545953</v>
      </c>
      <c r="CD162" s="5">
        <f t="shared" si="239"/>
        <v>1.8720000000000001</v>
      </c>
      <c r="CE162" s="153">
        <f t="shared" si="240"/>
        <v>0.87271263163854407</v>
      </c>
      <c r="CF162" s="5">
        <f t="shared" si="241"/>
        <v>87.2712631638544</v>
      </c>
      <c r="CG162">
        <f t="shared" si="242"/>
        <v>52</v>
      </c>
      <c r="CI162" s="59">
        <f t="shared" si="271"/>
        <v>-50</v>
      </c>
      <c r="CJ162">
        <f t="shared" si="272"/>
        <v>-50</v>
      </c>
    </row>
    <row r="163" spans="5:88" x14ac:dyDescent="0.25">
      <c r="E163" s="150">
        <v>53</v>
      </c>
      <c r="F163" s="191">
        <f t="shared" si="273"/>
        <v>5.3000000000000005E-2</v>
      </c>
      <c r="G163" s="191">
        <f t="shared" si="252"/>
        <v>5.3000000000000005E-2</v>
      </c>
      <c r="H163" s="191">
        <f t="shared" si="253"/>
        <v>1.06</v>
      </c>
      <c r="I163" s="191">
        <f t="shared" si="254"/>
        <v>0.84800000000000009</v>
      </c>
      <c r="J163" s="472">
        <f t="shared" si="186"/>
        <v>9</v>
      </c>
      <c r="K163" s="386">
        <f t="shared" si="187"/>
        <v>20.32</v>
      </c>
      <c r="L163" s="386">
        <f t="shared" si="188"/>
        <v>29.32</v>
      </c>
      <c r="M163" s="386"/>
      <c r="N163" s="191">
        <f t="shared" si="189"/>
        <v>0.69304229195088674</v>
      </c>
      <c r="O163" s="152">
        <f t="shared" si="255"/>
        <v>1.1695088676671213</v>
      </c>
      <c r="P163" s="152">
        <f t="shared" si="256"/>
        <v>1.6840927694406547</v>
      </c>
      <c r="Q163" s="191">
        <f t="shared" si="192"/>
        <v>5.8475443383356064E-2</v>
      </c>
      <c r="R163" s="191">
        <f t="shared" si="257"/>
        <v>7.3094304229195078E-2</v>
      </c>
      <c r="S163" s="191">
        <f t="shared" si="258"/>
        <v>20</v>
      </c>
      <c r="T163" s="191">
        <f t="shared" si="259"/>
        <v>0.67977252843394587</v>
      </c>
      <c r="U163" s="191">
        <f t="shared" si="196"/>
        <v>11.329542140565763</v>
      </c>
      <c r="V163" s="191">
        <f t="shared" si="197"/>
        <v>5.018005869345072</v>
      </c>
      <c r="W163" s="175">
        <f t="shared" si="198"/>
        <v>277.21691678035478</v>
      </c>
      <c r="X163" s="386">
        <f t="shared" si="199"/>
        <v>61.171253290936463</v>
      </c>
      <c r="Z163" s="191">
        <f t="shared" si="200"/>
        <v>0.14999999999999997</v>
      </c>
      <c r="AA163" s="153">
        <f t="shared" si="201"/>
        <v>1.1072834645669287</v>
      </c>
      <c r="AB163" s="153">
        <f t="shared" si="260"/>
        <v>1.2789904502046381E-2</v>
      </c>
      <c r="AC163" s="153"/>
      <c r="AD163" s="153">
        <f t="shared" si="203"/>
        <v>1.1072834645669289</v>
      </c>
      <c r="AE163" s="317">
        <f t="shared" si="261"/>
        <v>638.19851851851865</v>
      </c>
      <c r="AF163" s="463">
        <f t="shared" si="262"/>
        <v>2.3021828103683497E-2</v>
      </c>
      <c r="AH163" s="153">
        <f t="shared" si="263"/>
        <v>0.26960288256195314</v>
      </c>
      <c r="AI163" s="153">
        <f t="shared" si="264"/>
        <v>0.67977252843394587</v>
      </c>
      <c r="AJ163" s="153">
        <f t="shared" si="265"/>
        <v>1.592424095136256</v>
      </c>
      <c r="AL163" s="317">
        <f t="shared" si="266"/>
        <v>53.000000000000007</v>
      </c>
      <c r="AM163" s="147">
        <f t="shared" si="267"/>
        <v>61.171253290936463</v>
      </c>
      <c r="AO163">
        <f t="shared" si="211"/>
        <v>53.000000000000007</v>
      </c>
      <c r="AP163">
        <f t="shared" si="212"/>
        <v>61.171253290936463</v>
      </c>
      <c r="AR163" s="5">
        <f t="shared" si="249"/>
        <v>16.347548009910835</v>
      </c>
      <c r="AS163" s="5">
        <f t="shared" si="246"/>
        <v>11.329542140565763</v>
      </c>
      <c r="AT163" s="5">
        <f t="shared" si="247"/>
        <v>5.0180058693450711</v>
      </c>
      <c r="AU163" s="153">
        <f t="shared" si="248"/>
        <v>0.69304229195088685</v>
      </c>
      <c r="AW163" s="5">
        <f t="shared" si="216"/>
        <v>3.0023286672499281</v>
      </c>
      <c r="AX163" s="5"/>
      <c r="AY163" s="5">
        <f t="shared" si="217"/>
        <v>3.7529108340624098</v>
      </c>
      <c r="AZ163" s="5"/>
      <c r="BA163" s="5">
        <f t="shared" si="218"/>
        <v>0.65667731129700935</v>
      </c>
      <c r="BB163" s="5"/>
      <c r="BC163" s="5"/>
      <c r="BD163" s="153">
        <f t="shared" si="219"/>
        <v>0.32672536437265154</v>
      </c>
      <c r="BE163" s="153">
        <f t="shared" si="220"/>
        <v>0.21744140915056792</v>
      </c>
      <c r="BF163" s="153">
        <f t="shared" si="221"/>
        <v>0.21658869774213435</v>
      </c>
      <c r="BG163" s="153"/>
      <c r="BH163" s="463">
        <f t="shared" si="222"/>
        <v>3.7362312303554669E-2</v>
      </c>
      <c r="BI163" s="463">
        <f t="shared" si="223"/>
        <v>6.0959999999999999E-3</v>
      </c>
      <c r="BJ163" s="463">
        <f t="shared" si="224"/>
        <v>7.6464066613670572E-4</v>
      </c>
      <c r="BK163" s="463">
        <f t="shared" si="225"/>
        <v>2.6293313207547174E-3</v>
      </c>
      <c r="BL163">
        <f t="shared" si="226"/>
        <v>2.6099999999999999E-3</v>
      </c>
      <c r="BM163">
        <f t="shared" si="268"/>
        <v>6.1171253290936466E-7</v>
      </c>
      <c r="BN163">
        <f t="shared" si="269"/>
        <v>5.4885150530859288E-2</v>
      </c>
      <c r="BO163" s="147">
        <f t="shared" si="229"/>
        <v>49.462284290446092</v>
      </c>
      <c r="BP163" s="153">
        <f t="shared" si="230"/>
        <v>2.1200000000000004E-2</v>
      </c>
      <c r="BQ163" s="153">
        <f t="shared" si="231"/>
        <v>2.1200000000000004E-2</v>
      </c>
      <c r="BR163" s="463"/>
      <c r="BT163" s="147">
        <f t="shared" si="232"/>
        <v>42.400000000000006</v>
      </c>
      <c r="BU163" s="463">
        <f t="shared" si="233"/>
        <v>8.539957097955353E-2</v>
      </c>
      <c r="BV163" s="463">
        <f t="shared" si="234"/>
        <v>3.7635490065054213E-2</v>
      </c>
      <c r="BW163" s="463">
        <f t="shared" si="235"/>
        <v>2.3455331994816815E-3</v>
      </c>
      <c r="BX163" s="463">
        <f t="shared" si="236"/>
        <v>0</v>
      </c>
      <c r="BY163" s="463">
        <f t="shared" si="180"/>
        <v>0.14184907526131929</v>
      </c>
      <c r="BZ163" s="463">
        <f t="shared" si="250"/>
        <v>0.12538059424408943</v>
      </c>
      <c r="CA163" s="549">
        <f t="shared" si="270"/>
        <v>4.2400000000000007E-2</v>
      </c>
      <c r="CB163" s="147">
        <f t="shared" si="238"/>
        <v>435.01026374949816</v>
      </c>
      <c r="CC163" s="153">
        <f t="shared" si="251"/>
        <v>0.28153422579217857</v>
      </c>
      <c r="CD163" s="5">
        <f t="shared" si="239"/>
        <v>1.9080000000000001</v>
      </c>
      <c r="CE163" s="153">
        <f t="shared" si="240"/>
        <v>0.87141821193029356</v>
      </c>
      <c r="CF163" s="5">
        <f t="shared" si="241"/>
        <v>87.141821193029358</v>
      </c>
      <c r="CG163">
        <f t="shared" si="242"/>
        <v>53</v>
      </c>
      <c r="CI163" s="59">
        <f t="shared" si="271"/>
        <v>-50</v>
      </c>
      <c r="CJ163">
        <f t="shared" si="272"/>
        <v>-50</v>
      </c>
    </row>
    <row r="164" spans="5:88" x14ac:dyDescent="0.25">
      <c r="E164" s="150">
        <v>54</v>
      </c>
      <c r="F164" s="191">
        <f t="shared" si="273"/>
        <v>5.4000000000000006E-2</v>
      </c>
      <c r="G164" s="191">
        <f t="shared" si="252"/>
        <v>5.4000000000000006E-2</v>
      </c>
      <c r="H164" s="191">
        <f t="shared" si="253"/>
        <v>1.08</v>
      </c>
      <c r="I164" s="191">
        <f t="shared" si="254"/>
        <v>0.8640000000000001</v>
      </c>
      <c r="J164" s="472">
        <f t="shared" si="186"/>
        <v>9</v>
      </c>
      <c r="K164" s="386">
        <f t="shared" si="187"/>
        <v>20.32</v>
      </c>
      <c r="L164" s="386">
        <f t="shared" si="188"/>
        <v>29.32</v>
      </c>
      <c r="M164" s="386"/>
      <c r="N164" s="191">
        <f t="shared" si="189"/>
        <v>0.69304229195088674</v>
      </c>
      <c r="O164" s="152">
        <f t="shared" si="255"/>
        <v>1.1695088676671213</v>
      </c>
      <c r="P164" s="152">
        <f t="shared" si="256"/>
        <v>1.6840927694406547</v>
      </c>
      <c r="Q164" s="191">
        <f t="shared" si="192"/>
        <v>5.8475443383356064E-2</v>
      </c>
      <c r="R164" s="191">
        <f t="shared" si="257"/>
        <v>7.3094304229195078E-2</v>
      </c>
      <c r="S164" s="191">
        <f t="shared" si="258"/>
        <v>20</v>
      </c>
      <c r="T164" s="191">
        <f t="shared" si="259"/>
        <v>0.69259842519685055</v>
      </c>
      <c r="U164" s="191">
        <f t="shared" si="196"/>
        <v>11.543307086614174</v>
      </c>
      <c r="V164" s="191">
        <f t="shared" si="197"/>
        <v>5.1126852253704511</v>
      </c>
      <c r="W164" s="175">
        <f t="shared" si="198"/>
        <v>277.21691678035478</v>
      </c>
      <c r="X164" s="386">
        <f t="shared" si="199"/>
        <v>60.038452304067263</v>
      </c>
      <c r="Z164" s="191">
        <f t="shared" si="200"/>
        <v>0.14999999999999997</v>
      </c>
      <c r="AA164" s="153">
        <f t="shared" si="201"/>
        <v>1.1072834645669287</v>
      </c>
      <c r="AB164" s="153">
        <f t="shared" si="260"/>
        <v>1.2789904502046381E-2</v>
      </c>
      <c r="AC164" s="153"/>
      <c r="AD164" s="153">
        <f t="shared" si="203"/>
        <v>1.1072834645669289</v>
      </c>
      <c r="AE164" s="317">
        <f t="shared" si="261"/>
        <v>650.24000000000012</v>
      </c>
      <c r="AF164" s="463">
        <f t="shared" si="262"/>
        <v>2.3021828103683497E-2</v>
      </c>
      <c r="AH164" s="153">
        <f t="shared" si="263"/>
        <v>0.27213442056664366</v>
      </c>
      <c r="AI164" s="153">
        <f t="shared" si="264"/>
        <v>0.69259842519685055</v>
      </c>
      <c r="AJ164" s="153">
        <f t="shared" si="265"/>
        <v>1.6019247594050745</v>
      </c>
      <c r="AL164" s="317">
        <f t="shared" si="266"/>
        <v>54.000000000000007</v>
      </c>
      <c r="AM164" s="147">
        <f t="shared" si="267"/>
        <v>60.038452304067263</v>
      </c>
      <c r="AO164">
        <f t="shared" si="211"/>
        <v>54.000000000000007</v>
      </c>
      <c r="AP164">
        <f t="shared" si="212"/>
        <v>60.038452304067263</v>
      </c>
      <c r="AR164" s="5">
        <f t="shared" si="249"/>
        <v>16.655992311984626</v>
      </c>
      <c r="AS164" s="5">
        <f t="shared" si="246"/>
        <v>11.543307086614174</v>
      </c>
      <c r="AT164" s="5">
        <f t="shared" si="247"/>
        <v>5.112685225370452</v>
      </c>
      <c r="AU164" s="153">
        <f t="shared" si="248"/>
        <v>0.69304229195088674</v>
      </c>
      <c r="AW164" s="5">
        <f t="shared" si="216"/>
        <v>3.1166929133858274</v>
      </c>
      <c r="AX164" s="5"/>
      <c r="AY164" s="5">
        <f t="shared" si="217"/>
        <v>3.8958661417322844</v>
      </c>
      <c r="AZ164" s="5"/>
      <c r="BA164" s="5">
        <f t="shared" si="218"/>
        <v>0.68169136338272696</v>
      </c>
      <c r="BB164" s="5"/>
      <c r="BC164" s="5"/>
      <c r="BD164" s="153">
        <f t="shared" si="219"/>
        <v>0.33288999388911661</v>
      </c>
      <c r="BE164" s="153">
        <f t="shared" si="220"/>
        <v>0.22154407724774852</v>
      </c>
      <c r="BF164" s="153">
        <f t="shared" si="221"/>
        <v>0.22067527694481615</v>
      </c>
      <c r="BG164" s="153"/>
      <c r="BH164" s="463">
        <f t="shared" si="222"/>
        <v>3.8785511811023632E-2</v>
      </c>
      <c r="BI164" s="463">
        <f t="shared" si="223"/>
        <v>6.0959999999999999E-3</v>
      </c>
      <c r="BJ164" s="463">
        <f t="shared" si="224"/>
        <v>7.5048065380084071E-4</v>
      </c>
      <c r="BK164" s="463">
        <f t="shared" si="225"/>
        <v>2.5806400000000004E-3</v>
      </c>
      <c r="BL164">
        <f t="shared" si="226"/>
        <v>2.6099999999999999E-3</v>
      </c>
      <c r="BM164">
        <f t="shared" si="268"/>
        <v>6.003845230406727E-7</v>
      </c>
      <c r="BN164">
        <f t="shared" si="269"/>
        <v>5.6463324367183251E-2</v>
      </c>
      <c r="BO164" s="147">
        <f t="shared" si="229"/>
        <v>50.822632464824473</v>
      </c>
      <c r="BP164" s="153">
        <f t="shared" si="230"/>
        <v>2.1600000000000005E-2</v>
      </c>
      <c r="BQ164" s="153">
        <f t="shared" si="231"/>
        <v>2.1600000000000005E-2</v>
      </c>
      <c r="BR164" s="463"/>
      <c r="BT164" s="147">
        <f t="shared" si="232"/>
        <v>43.20000000000001</v>
      </c>
      <c r="BU164" s="463">
        <f t="shared" si="233"/>
        <v>8.8652598425196877E-2</v>
      </c>
      <c r="BV164" s="463">
        <f t="shared" si="234"/>
        <v>3.9069095418190869E-2</v>
      </c>
      <c r="BW164" s="463">
        <f t="shared" si="235"/>
        <v>2.4348788927335656E-3</v>
      </c>
      <c r="BX164" s="463">
        <f t="shared" si="236"/>
        <v>0</v>
      </c>
      <c r="BY164" s="463">
        <f t="shared" si="180"/>
        <v>0.14730922254759327</v>
      </c>
      <c r="BZ164" s="463">
        <f t="shared" si="250"/>
        <v>0.1301565727361213</v>
      </c>
      <c r="CA164" s="549">
        <f t="shared" si="270"/>
        <v>4.3200000000000016E-2</v>
      </c>
      <c r="CB164" s="147">
        <f t="shared" si="238"/>
        <v>450.82236801983589</v>
      </c>
      <c r="CC164" s="153">
        <f t="shared" si="251"/>
        <v>0.29017254691477656</v>
      </c>
      <c r="CD164" s="5">
        <f t="shared" si="239"/>
        <v>1.9440000000000002</v>
      </c>
      <c r="CE164" s="153">
        <f t="shared" si="240"/>
        <v>0.87012079827250455</v>
      </c>
      <c r="CF164" s="5">
        <f t="shared" si="241"/>
        <v>87.01207982725046</v>
      </c>
      <c r="CG164">
        <f t="shared" si="242"/>
        <v>54</v>
      </c>
      <c r="CI164" s="59">
        <f t="shared" si="271"/>
        <v>-50</v>
      </c>
      <c r="CJ164">
        <f t="shared" si="272"/>
        <v>-50</v>
      </c>
    </row>
    <row r="165" spans="5:88" x14ac:dyDescent="0.25">
      <c r="E165" s="150">
        <v>55</v>
      </c>
      <c r="F165" s="191">
        <f t="shared" si="273"/>
        <v>5.5000000000000007E-2</v>
      </c>
      <c r="G165" s="191">
        <f t="shared" si="252"/>
        <v>5.5000000000000007E-2</v>
      </c>
      <c r="H165" s="191">
        <f t="shared" si="253"/>
        <v>1.1000000000000001</v>
      </c>
      <c r="I165" s="191">
        <f t="shared" si="254"/>
        <v>0.88000000000000012</v>
      </c>
      <c r="J165" s="472">
        <f t="shared" si="186"/>
        <v>9</v>
      </c>
      <c r="K165" s="386">
        <f t="shared" si="187"/>
        <v>20.32</v>
      </c>
      <c r="L165" s="386">
        <f t="shared" si="188"/>
        <v>29.32</v>
      </c>
      <c r="M165" s="386"/>
      <c r="N165" s="191">
        <f t="shared" si="189"/>
        <v>0.69304229195088674</v>
      </c>
      <c r="O165" s="152">
        <f t="shared" si="255"/>
        <v>1.1695088676671213</v>
      </c>
      <c r="P165" s="152">
        <f t="shared" si="256"/>
        <v>1.6840927694406547</v>
      </c>
      <c r="Q165" s="191">
        <f t="shared" si="192"/>
        <v>5.8475443383356064E-2</v>
      </c>
      <c r="R165" s="191">
        <f t="shared" si="257"/>
        <v>7.3094304229195078E-2</v>
      </c>
      <c r="S165" s="191">
        <f t="shared" si="258"/>
        <v>20</v>
      </c>
      <c r="T165" s="191">
        <f t="shared" si="259"/>
        <v>0.70542432195975513</v>
      </c>
      <c r="U165" s="191">
        <f t="shared" si="196"/>
        <v>11.757072032662585</v>
      </c>
      <c r="V165" s="191">
        <f t="shared" si="197"/>
        <v>5.2073645813958294</v>
      </c>
      <c r="W165" s="175">
        <f t="shared" si="198"/>
        <v>277.21691678035478</v>
      </c>
      <c r="X165" s="386">
        <f t="shared" si="199"/>
        <v>58.946844080356954</v>
      </c>
      <c r="Z165" s="191">
        <f t="shared" si="200"/>
        <v>0.14999999999999997</v>
      </c>
      <c r="AA165" s="153">
        <f t="shared" si="201"/>
        <v>1.1072834645669287</v>
      </c>
      <c r="AB165" s="153">
        <f t="shared" si="260"/>
        <v>1.2789904502046381E-2</v>
      </c>
      <c r="AC165" s="153"/>
      <c r="AD165" s="153">
        <f t="shared" si="203"/>
        <v>1.1072834645669289</v>
      </c>
      <c r="AE165" s="317">
        <f t="shared" si="261"/>
        <v>662.28148148148159</v>
      </c>
      <c r="AF165" s="463">
        <f t="shared" si="262"/>
        <v>2.3021828103683497E-2</v>
      </c>
      <c r="AH165" s="153">
        <f t="shared" si="263"/>
        <v>0.27464262493023811</v>
      </c>
      <c r="AI165" s="153">
        <f t="shared" si="264"/>
        <v>0.70542432195975513</v>
      </c>
      <c r="AJ165" s="153">
        <f t="shared" si="265"/>
        <v>1.6114254236738925</v>
      </c>
      <c r="AL165" s="317">
        <f t="shared" si="266"/>
        <v>55.000000000000007</v>
      </c>
      <c r="AM165" s="147">
        <f t="shared" si="267"/>
        <v>58.946844080356954</v>
      </c>
      <c r="AO165">
        <f t="shared" si="211"/>
        <v>55.000000000000007</v>
      </c>
      <c r="AP165">
        <f t="shared" si="212"/>
        <v>58.946844080356954</v>
      </c>
      <c r="AR165" s="5">
        <f t="shared" si="249"/>
        <v>16.964436614058414</v>
      </c>
      <c r="AS165" s="5">
        <f t="shared" si="246"/>
        <v>11.757072032662585</v>
      </c>
      <c r="AT165" s="5">
        <f t="shared" si="247"/>
        <v>5.2073645813958294</v>
      </c>
      <c r="AU165" s="153">
        <f t="shared" si="248"/>
        <v>0.69304229195088674</v>
      </c>
      <c r="AW165" s="5">
        <f t="shared" si="216"/>
        <v>3.2331948089822111</v>
      </c>
      <c r="AX165" s="5"/>
      <c r="AY165" s="5">
        <f t="shared" si="217"/>
        <v>4.0414935112277632</v>
      </c>
      <c r="AZ165" s="5"/>
      <c r="BA165" s="5">
        <f t="shared" si="218"/>
        <v>0.70717296784387818</v>
      </c>
      <c r="BB165" s="5"/>
      <c r="BC165" s="5"/>
      <c r="BD165" s="153">
        <f t="shared" si="219"/>
        <v>0.33905462340558173</v>
      </c>
      <c r="BE165" s="153">
        <f t="shared" si="220"/>
        <v>0.22564674534492901</v>
      </c>
      <c r="BF165" s="153">
        <f t="shared" si="221"/>
        <v>0.22476185614749797</v>
      </c>
      <c r="BG165" s="153"/>
      <c r="BH165" s="463">
        <f t="shared" si="222"/>
        <v>4.0235313178445295E-2</v>
      </c>
      <c r="BI165" s="463">
        <f t="shared" si="223"/>
        <v>6.0960000000000016E-3</v>
      </c>
      <c r="BJ165" s="463">
        <f t="shared" si="224"/>
        <v>7.3683555100446192E-4</v>
      </c>
      <c r="BK165" s="463">
        <f t="shared" si="225"/>
        <v>2.5337192727272733E-3</v>
      </c>
      <c r="BL165">
        <f t="shared" si="226"/>
        <v>2.6099999999999999E-3</v>
      </c>
      <c r="BM165">
        <f t="shared" si="268"/>
        <v>5.8946844080356957E-7</v>
      </c>
      <c r="BN165">
        <f t="shared" si="269"/>
        <v>5.8075342131964254E-2</v>
      </c>
      <c r="BO165" s="147">
        <f t="shared" si="229"/>
        <v>52.211868002177034</v>
      </c>
      <c r="BP165" s="153">
        <f t="shared" si="230"/>
        <v>2.2000000000000006E-2</v>
      </c>
      <c r="BQ165" s="153">
        <f t="shared" si="231"/>
        <v>2.2000000000000006E-2</v>
      </c>
      <c r="BR165" s="463"/>
      <c r="BT165" s="147">
        <f t="shared" si="232"/>
        <v>44.000000000000014</v>
      </c>
      <c r="BU165" s="463">
        <f t="shared" si="233"/>
        <v>9.1966430122160686E-2</v>
      </c>
      <c r="BV165" s="463">
        <f t="shared" si="234"/>
        <v>4.052949713306836E-2</v>
      </c>
      <c r="BW165" s="463">
        <f t="shared" si="235"/>
        <v>2.5258945989434286E-3</v>
      </c>
      <c r="BX165" s="463">
        <f t="shared" si="236"/>
        <v>0</v>
      </c>
      <c r="BY165" s="463">
        <f t="shared" ref="BY165:BY210" si="274">(BX165+(BU165+BV165+BW165)*(1+Ltc*(Ta-25)))/(1-(BU165+BV165+BW165)*Ltc*ThetaCa)</f>
        <v>0.15287576562806945</v>
      </c>
      <c r="BZ165" s="463">
        <f t="shared" si="250"/>
        <v>0.13502182185417247</v>
      </c>
      <c r="CA165" s="549">
        <f t="shared" si="270"/>
        <v>4.4000000000000011E-2</v>
      </c>
      <c r="CB165" s="147">
        <f t="shared" si="238"/>
        <v>466.91940933641439</v>
      </c>
      <c r="CC165" s="153">
        <f t="shared" si="251"/>
        <v>0.29895110776003375</v>
      </c>
      <c r="CD165" s="5">
        <f t="shared" si="239"/>
        <v>1.9800000000000002</v>
      </c>
      <c r="CE165" s="153">
        <f t="shared" si="240"/>
        <v>0.86882074532354892</v>
      </c>
      <c r="CF165" s="5">
        <f t="shared" si="241"/>
        <v>86.882074532354892</v>
      </c>
      <c r="CG165">
        <f t="shared" si="242"/>
        <v>55.000000000000007</v>
      </c>
      <c r="CI165" s="59">
        <f t="shared" si="271"/>
        <v>-50</v>
      </c>
      <c r="CJ165">
        <f t="shared" si="272"/>
        <v>-50</v>
      </c>
    </row>
    <row r="166" spans="5:88" x14ac:dyDescent="0.25">
      <c r="E166" s="150">
        <v>56</v>
      </c>
      <c r="F166" s="191">
        <f t="shared" si="273"/>
        <v>5.6000000000000008E-2</v>
      </c>
      <c r="G166" s="191">
        <f t="shared" si="252"/>
        <v>5.6000000000000008E-2</v>
      </c>
      <c r="H166" s="191">
        <f t="shared" si="253"/>
        <v>1.1200000000000001</v>
      </c>
      <c r="I166" s="191">
        <f t="shared" si="254"/>
        <v>0.89600000000000013</v>
      </c>
      <c r="J166" s="472">
        <f t="shared" si="186"/>
        <v>9</v>
      </c>
      <c r="K166" s="386">
        <f t="shared" si="187"/>
        <v>20.32</v>
      </c>
      <c r="L166" s="386">
        <f t="shared" si="188"/>
        <v>29.32</v>
      </c>
      <c r="M166" s="386"/>
      <c r="N166" s="191">
        <f t="shared" si="189"/>
        <v>0.69304229195088674</v>
      </c>
      <c r="O166" s="152">
        <f t="shared" si="255"/>
        <v>1.1695088676671213</v>
      </c>
      <c r="P166" s="152">
        <f t="shared" si="256"/>
        <v>1.6840927694406547</v>
      </c>
      <c r="Q166" s="191">
        <f t="shared" si="192"/>
        <v>5.8475443383356064E-2</v>
      </c>
      <c r="R166" s="191">
        <f t="shared" si="257"/>
        <v>7.3094304229195078E-2</v>
      </c>
      <c r="S166" s="191">
        <f t="shared" si="258"/>
        <v>20</v>
      </c>
      <c r="T166" s="191">
        <f t="shared" si="259"/>
        <v>0.71825021872265971</v>
      </c>
      <c r="U166" s="191">
        <f t="shared" si="196"/>
        <v>11.970836978710993</v>
      </c>
      <c r="V166" s="191">
        <f t="shared" si="197"/>
        <v>5.3020439374212085</v>
      </c>
      <c r="W166" s="175">
        <f t="shared" si="198"/>
        <v>277.21691678035478</v>
      </c>
      <c r="X166" s="386">
        <f t="shared" si="199"/>
        <v>57.8942218646363</v>
      </c>
      <c r="Z166" s="191">
        <f t="shared" si="200"/>
        <v>0.14999999999999997</v>
      </c>
      <c r="AA166" s="153">
        <f t="shared" si="201"/>
        <v>1.1072834645669287</v>
      </c>
      <c r="AB166" s="153">
        <f t="shared" si="260"/>
        <v>1.2789904502046381E-2</v>
      </c>
      <c r="AC166" s="153"/>
      <c r="AD166" s="153">
        <f t="shared" si="203"/>
        <v>1.1072834645669289</v>
      </c>
      <c r="AE166" s="317">
        <f t="shared" si="261"/>
        <v>674.32296296296317</v>
      </c>
      <c r="AF166" s="463">
        <f t="shared" si="262"/>
        <v>2.3021828103683497E-2</v>
      </c>
      <c r="AH166" s="153">
        <f t="shared" si="263"/>
        <v>0.27712812921102037</v>
      </c>
      <c r="AI166" s="153">
        <f t="shared" si="264"/>
        <v>0.71825021872265971</v>
      </c>
      <c r="AJ166" s="153">
        <f t="shared" si="265"/>
        <v>1.6209260879427108</v>
      </c>
      <c r="AL166" s="317">
        <f t="shared" si="266"/>
        <v>56.000000000000007</v>
      </c>
      <c r="AM166" s="147">
        <f t="shared" si="267"/>
        <v>57.8942218646363</v>
      </c>
      <c r="AO166">
        <f t="shared" si="211"/>
        <v>56.000000000000007</v>
      </c>
      <c r="AP166">
        <f t="shared" si="212"/>
        <v>57.8942218646363</v>
      </c>
      <c r="AR166" s="5">
        <f t="shared" si="249"/>
        <v>17.272880916132202</v>
      </c>
      <c r="AS166" s="5">
        <f t="shared" si="246"/>
        <v>11.970836978710993</v>
      </c>
      <c r="AT166" s="5">
        <f t="shared" si="247"/>
        <v>5.3020439374212085</v>
      </c>
      <c r="AU166" s="153">
        <f t="shared" si="248"/>
        <v>0.69304229195088674</v>
      </c>
      <c r="AW166" s="5">
        <f t="shared" si="216"/>
        <v>3.3518343540390791</v>
      </c>
      <c r="AX166" s="5"/>
      <c r="AY166" s="5">
        <f t="shared" si="217"/>
        <v>4.1897929425488485</v>
      </c>
      <c r="AZ166" s="5"/>
      <c r="BA166" s="5">
        <f t="shared" si="218"/>
        <v>0.73312212468046345</v>
      </c>
      <c r="BB166" s="5"/>
      <c r="BC166" s="5"/>
      <c r="BD166" s="153">
        <f t="shared" si="219"/>
        <v>0.3452192529220468</v>
      </c>
      <c r="BE166" s="153">
        <f t="shared" si="220"/>
        <v>0.22974941344210953</v>
      </c>
      <c r="BF166" s="153">
        <f t="shared" si="221"/>
        <v>0.22884843535017974</v>
      </c>
      <c r="BG166" s="153"/>
      <c r="BH166" s="463">
        <f t="shared" si="222"/>
        <v>4.1711716405819645E-2</v>
      </c>
      <c r="BI166" s="463">
        <f t="shared" si="223"/>
        <v>6.0959999999999999E-3</v>
      </c>
      <c r="BJ166" s="463">
        <f t="shared" si="224"/>
        <v>7.2367777330795374E-4</v>
      </c>
      <c r="BK166" s="463">
        <f t="shared" si="225"/>
        <v>2.4884742857142861E-3</v>
      </c>
      <c r="BL166">
        <f t="shared" si="226"/>
        <v>2.6099999999999999E-3</v>
      </c>
      <c r="BM166">
        <f t="shared" si="268"/>
        <v>5.7894221864636303E-7</v>
      </c>
      <c r="BN166">
        <f t="shared" si="269"/>
        <v>5.9721131704574354E-2</v>
      </c>
      <c r="BO166" s="147">
        <f t="shared" si="229"/>
        <v>53.629868464841877</v>
      </c>
      <c r="BP166" s="153">
        <f t="shared" si="230"/>
        <v>2.2400000000000003E-2</v>
      </c>
      <c r="BQ166" s="153">
        <f t="shared" si="231"/>
        <v>2.2400000000000003E-2</v>
      </c>
      <c r="BR166" s="463"/>
      <c r="BT166" s="147">
        <f t="shared" si="232"/>
        <v>44.800000000000004</v>
      </c>
      <c r="BU166" s="463">
        <f t="shared" si="233"/>
        <v>9.5341066070444902E-2</v>
      </c>
      <c r="BV166" s="463">
        <f t="shared" si="234"/>
        <v>4.2016695209686733E-2</v>
      </c>
      <c r="BW166" s="463">
        <f t="shared" si="235"/>
        <v>2.6185803181112701E-3</v>
      </c>
      <c r="BX166" s="463">
        <f t="shared" si="236"/>
        <v>0</v>
      </c>
      <c r="BY166" s="463">
        <f t="shared" si="274"/>
        <v>0.15854895075733216</v>
      </c>
      <c r="BZ166" s="463">
        <f t="shared" si="250"/>
        <v>0.1399763415982429</v>
      </c>
      <c r="CA166" s="549">
        <f t="shared" si="270"/>
        <v>4.4800000000000006E-2</v>
      </c>
      <c r="CB166" s="147">
        <f t="shared" si="238"/>
        <v>483.301633953818</v>
      </c>
      <c r="CC166" s="153">
        <f t="shared" si="251"/>
        <v>0.30787008246190656</v>
      </c>
      <c r="CD166" s="5">
        <f t="shared" si="239"/>
        <v>2.016</v>
      </c>
      <c r="CE166" s="153">
        <f t="shared" si="240"/>
        <v>0.86751837601190285</v>
      </c>
      <c r="CF166" s="5">
        <f t="shared" si="241"/>
        <v>86.751837601190289</v>
      </c>
      <c r="CG166">
        <f t="shared" si="242"/>
        <v>56.000000000000007</v>
      </c>
      <c r="CI166" s="59">
        <f t="shared" si="271"/>
        <v>-50</v>
      </c>
      <c r="CJ166">
        <f t="shared" si="272"/>
        <v>-50</v>
      </c>
    </row>
    <row r="167" spans="5:88" x14ac:dyDescent="0.25">
      <c r="E167" s="150">
        <v>57</v>
      </c>
      <c r="F167" s="191">
        <f t="shared" si="273"/>
        <v>5.6999999999999995E-2</v>
      </c>
      <c r="G167" s="191">
        <f t="shared" si="252"/>
        <v>5.6999999999999995E-2</v>
      </c>
      <c r="H167" s="191">
        <f t="shared" si="253"/>
        <v>1.1399999999999999</v>
      </c>
      <c r="I167" s="191">
        <f t="shared" si="254"/>
        <v>0.91199999999999992</v>
      </c>
      <c r="J167" s="472">
        <f t="shared" si="186"/>
        <v>9</v>
      </c>
      <c r="K167" s="386">
        <f t="shared" si="187"/>
        <v>20.32</v>
      </c>
      <c r="L167" s="386">
        <f t="shared" si="188"/>
        <v>29.32</v>
      </c>
      <c r="M167" s="386"/>
      <c r="N167" s="191">
        <f t="shared" si="189"/>
        <v>0.69304229195088674</v>
      </c>
      <c r="O167" s="152">
        <f t="shared" si="255"/>
        <v>1.1695088676671213</v>
      </c>
      <c r="P167" s="152">
        <f t="shared" si="256"/>
        <v>1.6840927694406547</v>
      </c>
      <c r="Q167" s="191">
        <f t="shared" si="192"/>
        <v>5.8475443383356064E-2</v>
      </c>
      <c r="R167" s="191">
        <f t="shared" si="257"/>
        <v>7.3094304229195078E-2</v>
      </c>
      <c r="S167" s="191">
        <f t="shared" si="258"/>
        <v>20</v>
      </c>
      <c r="T167" s="191">
        <f t="shared" si="259"/>
        <v>0.73107611548556417</v>
      </c>
      <c r="U167" s="191">
        <f t="shared" si="196"/>
        <v>12.184601924759402</v>
      </c>
      <c r="V167" s="191">
        <f t="shared" si="197"/>
        <v>5.3967232934465859</v>
      </c>
      <c r="W167" s="175">
        <f t="shared" si="198"/>
        <v>277.21691678035478</v>
      </c>
      <c r="X167" s="386">
        <f t="shared" si="199"/>
        <v>56.878533761747953</v>
      </c>
      <c r="Z167" s="191">
        <f t="shared" si="200"/>
        <v>0.14999999999999997</v>
      </c>
      <c r="AA167" s="153">
        <f t="shared" si="201"/>
        <v>1.1072834645669287</v>
      </c>
      <c r="AB167" s="153">
        <f t="shared" si="260"/>
        <v>1.2789904502046381E-2</v>
      </c>
      <c r="AC167" s="153"/>
      <c r="AD167" s="153">
        <f t="shared" si="203"/>
        <v>1.1072834645669289</v>
      </c>
      <c r="AE167" s="317">
        <f t="shared" si="261"/>
        <v>686.36444444444442</v>
      </c>
      <c r="AF167" s="463">
        <f t="shared" si="262"/>
        <v>2.3021828103683497E-2</v>
      </c>
      <c r="AH167" s="153">
        <f t="shared" si="263"/>
        <v>0.27959153880514442</v>
      </c>
      <c r="AI167" s="153">
        <f t="shared" si="264"/>
        <v>0.73107611548556417</v>
      </c>
      <c r="AJ167" s="153">
        <f t="shared" si="265"/>
        <v>1.630426752211529</v>
      </c>
      <c r="AL167" s="317">
        <f t="shared" si="266"/>
        <v>56.999999999999993</v>
      </c>
      <c r="AM167" s="147">
        <f t="shared" si="267"/>
        <v>56.878533761747953</v>
      </c>
      <c r="AO167">
        <f t="shared" si="211"/>
        <v>56.999999999999993</v>
      </c>
      <c r="AP167">
        <f t="shared" si="212"/>
        <v>56.878533761747953</v>
      </c>
      <c r="AR167" s="5">
        <f t="shared" si="249"/>
        <v>17.58132521820599</v>
      </c>
      <c r="AS167" s="5">
        <f t="shared" si="246"/>
        <v>12.184601924759402</v>
      </c>
      <c r="AT167" s="5">
        <f t="shared" si="247"/>
        <v>5.3967232934465876</v>
      </c>
      <c r="AU167" s="153">
        <f t="shared" si="248"/>
        <v>0.69304229195088674</v>
      </c>
      <c r="AW167" s="5">
        <f t="shared" si="216"/>
        <v>3.4726115485564288</v>
      </c>
      <c r="AX167" s="5"/>
      <c r="AY167" s="5">
        <f t="shared" si="217"/>
        <v>4.3407644356955366</v>
      </c>
      <c r="AZ167" s="5"/>
      <c r="BA167" s="5">
        <f t="shared" si="218"/>
        <v>0.75953883389248256</v>
      </c>
      <c r="BB167" s="5"/>
      <c r="BC167" s="5"/>
      <c r="BD167" s="153">
        <f t="shared" si="219"/>
        <v>0.35138388243851187</v>
      </c>
      <c r="BE167" s="153">
        <f t="shared" si="220"/>
        <v>0.23385208153928999</v>
      </c>
      <c r="BF167" s="153">
        <f t="shared" si="221"/>
        <v>0.23293501455286145</v>
      </c>
      <c r="BG167" s="153"/>
      <c r="BH167" s="463">
        <f t="shared" si="222"/>
        <v>4.3214721493146674E-2</v>
      </c>
      <c r="BI167" s="463">
        <f t="shared" si="223"/>
        <v>6.0959999999999999E-3</v>
      </c>
      <c r="BJ167" s="463">
        <f t="shared" si="224"/>
        <v>7.1098167202184937E-4</v>
      </c>
      <c r="BK167" s="463">
        <f t="shared" si="225"/>
        <v>2.4448168421052638E-3</v>
      </c>
      <c r="BL167">
        <f t="shared" si="226"/>
        <v>2.6099999999999999E-3</v>
      </c>
      <c r="BM167">
        <f t="shared" si="268"/>
        <v>5.6878533761747953E-7</v>
      </c>
      <c r="BN167">
        <f t="shared" si="269"/>
        <v>6.1400630551134427E-2</v>
      </c>
      <c r="BO167" s="147">
        <f t="shared" si="229"/>
        <v>55.076520007273785</v>
      </c>
      <c r="BP167" s="153">
        <f t="shared" si="230"/>
        <v>2.2800000000000001E-2</v>
      </c>
      <c r="BQ167" s="153">
        <f t="shared" si="231"/>
        <v>2.2800000000000001E-2</v>
      </c>
      <c r="BR167" s="463"/>
      <c r="BT167" s="147">
        <f t="shared" si="232"/>
        <v>45.6</v>
      </c>
      <c r="BU167" s="463">
        <f t="shared" si="233"/>
        <v>9.8776506270049552E-2</v>
      </c>
      <c r="BV167" s="463">
        <f t="shared" si="234"/>
        <v>4.3530689648045955E-2</v>
      </c>
      <c r="BW167" s="463">
        <f t="shared" si="235"/>
        <v>2.7129360502370888E-3</v>
      </c>
      <c r="BX167" s="463">
        <f t="shared" si="236"/>
        <v>0</v>
      </c>
      <c r="BY167" s="463">
        <f t="shared" si="274"/>
        <v>0.16432902920465145</v>
      </c>
      <c r="BZ167" s="463">
        <f t="shared" si="250"/>
        <v>0.14502013196833261</v>
      </c>
      <c r="CA167" s="549">
        <f t="shared" si="270"/>
        <v>4.5599999999999988E-2</v>
      </c>
      <c r="CB167" s="147">
        <f t="shared" si="238"/>
        <v>499.96929314131665</v>
      </c>
      <c r="CC167" s="153">
        <f t="shared" si="251"/>
        <v>0.31692965975578585</v>
      </c>
      <c r="CD167" s="5">
        <f t="shared" si="239"/>
        <v>2.0519999999999996</v>
      </c>
      <c r="CE167" s="153">
        <f t="shared" si="240"/>
        <v>0.8662139846784398</v>
      </c>
      <c r="CF167" s="5">
        <f t="shared" si="241"/>
        <v>86.621398467843974</v>
      </c>
      <c r="CG167">
        <f t="shared" si="242"/>
        <v>56.999999999999993</v>
      </c>
      <c r="CI167" s="59">
        <f t="shared" si="271"/>
        <v>-50</v>
      </c>
      <c r="CJ167">
        <f t="shared" si="272"/>
        <v>-50</v>
      </c>
    </row>
    <row r="168" spans="5:88" x14ac:dyDescent="0.25">
      <c r="E168" s="150">
        <v>58</v>
      </c>
      <c r="F168" s="191">
        <f t="shared" si="273"/>
        <v>5.7999999999999996E-2</v>
      </c>
      <c r="G168" s="191">
        <f t="shared" si="252"/>
        <v>5.7999999999999996E-2</v>
      </c>
      <c r="H168" s="191">
        <f t="shared" si="253"/>
        <v>1.1599999999999999</v>
      </c>
      <c r="I168" s="191">
        <f t="shared" si="254"/>
        <v>0.92799999999999994</v>
      </c>
      <c r="J168" s="472">
        <f t="shared" si="186"/>
        <v>9</v>
      </c>
      <c r="K168" s="386">
        <f t="shared" si="187"/>
        <v>20.32</v>
      </c>
      <c r="L168" s="386">
        <f t="shared" si="188"/>
        <v>29.32</v>
      </c>
      <c r="M168" s="386"/>
      <c r="N168" s="191">
        <f t="shared" si="189"/>
        <v>0.69304229195088674</v>
      </c>
      <c r="O168" s="152">
        <f t="shared" si="255"/>
        <v>1.1695088676671213</v>
      </c>
      <c r="P168" s="152">
        <f t="shared" si="256"/>
        <v>1.6840927694406547</v>
      </c>
      <c r="Q168" s="191">
        <f t="shared" si="192"/>
        <v>5.8475443383356064E-2</v>
      </c>
      <c r="R168" s="191">
        <f t="shared" si="257"/>
        <v>7.3094304229195078E-2</v>
      </c>
      <c r="S168" s="191">
        <f t="shared" si="258"/>
        <v>20</v>
      </c>
      <c r="T168" s="191">
        <f t="shared" si="259"/>
        <v>0.74390201224846908</v>
      </c>
      <c r="U168" s="191">
        <f t="shared" si="196"/>
        <v>12.398366870807816</v>
      </c>
      <c r="V168" s="191">
        <f t="shared" si="197"/>
        <v>5.4914026494719659</v>
      </c>
      <c r="W168" s="175">
        <f t="shared" si="198"/>
        <v>277.21691678035478</v>
      </c>
      <c r="X168" s="386">
        <f t="shared" si="199"/>
        <v>55.897869386545388</v>
      </c>
      <c r="Z168" s="191">
        <f t="shared" si="200"/>
        <v>0.14999999999999997</v>
      </c>
      <c r="AA168" s="153">
        <f t="shared" si="201"/>
        <v>1.1072834645669287</v>
      </c>
      <c r="AB168" s="153">
        <f t="shared" si="260"/>
        <v>1.2789904502046381E-2</v>
      </c>
      <c r="AC168" s="153"/>
      <c r="AD168" s="153">
        <f t="shared" si="203"/>
        <v>1.1072834645669289</v>
      </c>
      <c r="AE168" s="317">
        <f t="shared" si="261"/>
        <v>698.405925925926</v>
      </c>
      <c r="AF168" s="463">
        <f t="shared" si="262"/>
        <v>2.3021828103683497E-2</v>
      </c>
      <c r="AH168" s="153">
        <f t="shared" si="263"/>
        <v>0.2820334326686415</v>
      </c>
      <c r="AI168" s="153">
        <f t="shared" si="264"/>
        <v>0.74390201224846908</v>
      </c>
      <c r="AJ168" s="153">
        <f t="shared" si="265"/>
        <v>1.6399274164803475</v>
      </c>
      <c r="AL168" s="317">
        <f t="shared" si="266"/>
        <v>57.999999999999993</v>
      </c>
      <c r="AM168" s="147">
        <f t="shared" si="267"/>
        <v>55.897869386545388</v>
      </c>
      <c r="AO168">
        <f t="shared" si="211"/>
        <v>57.999999999999993</v>
      </c>
      <c r="AP168">
        <f t="shared" si="212"/>
        <v>55.897869386545388</v>
      </c>
      <c r="AR168" s="5">
        <f t="shared" si="249"/>
        <v>17.889769520279781</v>
      </c>
      <c r="AS168" s="5">
        <f t="shared" si="246"/>
        <v>12.398366870807816</v>
      </c>
      <c r="AT168" s="5">
        <f t="shared" si="247"/>
        <v>5.491402649471965</v>
      </c>
      <c r="AU168" s="153">
        <f t="shared" si="248"/>
        <v>0.69304229195088685</v>
      </c>
      <c r="AW168" s="5">
        <f t="shared" si="216"/>
        <v>3.5955263925342664</v>
      </c>
      <c r="AX168" s="5"/>
      <c r="AY168" s="5">
        <f t="shared" si="217"/>
        <v>4.4944079906678329</v>
      </c>
      <c r="AZ168" s="5"/>
      <c r="BA168" s="5">
        <f t="shared" si="218"/>
        <v>0.78642309547993561</v>
      </c>
      <c r="BB168" s="5"/>
      <c r="BC168" s="5"/>
      <c r="BD168" s="153">
        <f t="shared" si="219"/>
        <v>0.35754851195497717</v>
      </c>
      <c r="BE168" s="153">
        <f t="shared" si="220"/>
        <v>0.23795474963647056</v>
      </c>
      <c r="BF168" s="153">
        <f t="shared" si="221"/>
        <v>0.23702159375554324</v>
      </c>
      <c r="BG168" s="153"/>
      <c r="BH168" s="463">
        <f t="shared" si="222"/>
        <v>4.4744328440426459E-2</v>
      </c>
      <c r="BI168" s="463">
        <f t="shared" si="223"/>
        <v>6.0960000000000016E-3</v>
      </c>
      <c r="BJ168" s="463">
        <f t="shared" si="224"/>
        <v>6.9872336733181736E-4</v>
      </c>
      <c r="BK168" s="463">
        <f t="shared" si="225"/>
        <v>2.4026648275862071E-3</v>
      </c>
      <c r="BL168">
        <f t="shared" si="226"/>
        <v>2.6099999999999999E-3</v>
      </c>
      <c r="BM168">
        <f t="shared" si="268"/>
        <v>5.5897869386545387E-7</v>
      </c>
      <c r="BN168">
        <f t="shared" si="269"/>
        <v>6.3113784987585159E-2</v>
      </c>
      <c r="BO168" s="147">
        <f t="shared" si="229"/>
        <v>56.551716635344491</v>
      </c>
      <c r="BP168" s="153">
        <f t="shared" si="230"/>
        <v>2.3199999999999998E-2</v>
      </c>
      <c r="BQ168" s="153">
        <f t="shared" si="231"/>
        <v>2.3199999999999998E-2</v>
      </c>
      <c r="BR168" s="463"/>
      <c r="BT168" s="147">
        <f t="shared" si="232"/>
        <v>46.4</v>
      </c>
      <c r="BU168" s="463">
        <f t="shared" si="233"/>
        <v>0.10227275072097478</v>
      </c>
      <c r="BV168" s="463">
        <f t="shared" si="234"/>
        <v>4.5071480448146087E-2</v>
      </c>
      <c r="BW168" s="463">
        <f t="shared" si="235"/>
        <v>2.808961795320889E-3</v>
      </c>
      <c r="BX168" s="463">
        <f t="shared" si="236"/>
        <v>0</v>
      </c>
      <c r="BY168" s="463">
        <f t="shared" si="274"/>
        <v>0.17021625728220521</v>
      </c>
      <c r="BZ168" s="463">
        <f t="shared" si="250"/>
        <v>0.15015319296444177</v>
      </c>
      <c r="CA168" s="549">
        <f t="shared" si="270"/>
        <v>4.6400000000000018E-2</v>
      </c>
      <c r="CB168" s="147">
        <f t="shared" si="238"/>
        <v>516.92264321108871</v>
      </c>
      <c r="CC168" s="153">
        <f t="shared" si="251"/>
        <v>0.32613004226979037</v>
      </c>
      <c r="CD168" s="5">
        <f t="shared" si="239"/>
        <v>2.0880000000000001</v>
      </c>
      <c r="CE168" s="153">
        <f t="shared" si="240"/>
        <v>0.8649078398597122</v>
      </c>
      <c r="CF168" s="5">
        <f t="shared" si="241"/>
        <v>86.49078398597122</v>
      </c>
      <c r="CG168">
        <f t="shared" si="242"/>
        <v>57.999999999999993</v>
      </c>
      <c r="CI168" s="59">
        <f t="shared" si="271"/>
        <v>55.897869386545388</v>
      </c>
      <c r="CJ168">
        <f t="shared" si="272"/>
        <v>2.4681024277710248</v>
      </c>
    </row>
    <row r="169" spans="5:88" x14ac:dyDescent="0.25">
      <c r="E169" s="150">
        <v>59</v>
      </c>
      <c r="F169" s="191">
        <f t="shared" si="273"/>
        <v>5.8999999999999997E-2</v>
      </c>
      <c r="G169" s="191">
        <f t="shared" si="252"/>
        <v>5.8999999999999997E-2</v>
      </c>
      <c r="H169" s="191">
        <f t="shared" si="253"/>
        <v>1.18</v>
      </c>
      <c r="I169" s="191">
        <f t="shared" si="254"/>
        <v>0.94399999999999995</v>
      </c>
      <c r="J169" s="472">
        <f t="shared" si="186"/>
        <v>9</v>
      </c>
      <c r="K169" s="386">
        <f t="shared" si="187"/>
        <v>20.14218419774782</v>
      </c>
      <c r="L169" s="386">
        <f t="shared" si="188"/>
        <v>29.32</v>
      </c>
      <c r="M169" s="386"/>
      <c r="N169" s="191">
        <f t="shared" si="189"/>
        <v>0.69304229195088674</v>
      </c>
      <c r="O169" s="152">
        <f t="shared" si="255"/>
        <v>1.1695088676671213</v>
      </c>
      <c r="P169" s="152">
        <f t="shared" si="256"/>
        <v>1.6840927694406547</v>
      </c>
      <c r="Q169" s="191">
        <f t="shared" si="192"/>
        <v>5.8475443383356064E-2</v>
      </c>
      <c r="R169" s="191">
        <f t="shared" si="257"/>
        <v>7.3094304229195078E-2</v>
      </c>
      <c r="S169" s="191">
        <f t="shared" si="258"/>
        <v>19.82218419774782</v>
      </c>
      <c r="T169" s="191">
        <f t="shared" si="259"/>
        <v>0.75</v>
      </c>
      <c r="U169" s="191">
        <f t="shared" si="196"/>
        <v>12.499999999999998</v>
      </c>
      <c r="V169" s="191">
        <f t="shared" si="197"/>
        <v>5.585292979923155</v>
      </c>
      <c r="W169" s="175">
        <f t="shared" si="198"/>
        <v>276.46773572043321</v>
      </c>
      <c r="X169" s="386">
        <f t="shared" si="199"/>
        <v>55.293547144086638</v>
      </c>
      <c r="Z169" s="191">
        <f t="shared" si="200"/>
        <v>0.14999999999999997</v>
      </c>
      <c r="AA169" s="153">
        <f t="shared" si="201"/>
        <v>1.1170585959846306</v>
      </c>
      <c r="AB169" s="153">
        <f t="shared" si="260"/>
        <v>1.2867944195788206E-2</v>
      </c>
      <c r="AC169" s="153"/>
      <c r="AD169" s="153">
        <f t="shared" si="203"/>
        <v>1.1170585959846309</v>
      </c>
      <c r="AE169" s="317">
        <f t="shared" si="261"/>
        <v>704.23044009903492</v>
      </c>
      <c r="AF169" s="463">
        <f t="shared" si="262"/>
        <v>2.3162299552418782E-2</v>
      </c>
      <c r="AH169" s="153">
        <f t="shared" si="263"/>
        <v>0.28445436490636899</v>
      </c>
      <c r="AI169" s="153">
        <f t="shared" si="264"/>
        <v>0.75</v>
      </c>
      <c r="AJ169" s="153">
        <f t="shared" si="265"/>
        <v>1.6444444444444444</v>
      </c>
      <c r="AL169" s="317">
        <f t="shared" si="266"/>
        <v>59</v>
      </c>
      <c r="AM169" s="147">
        <f t="shared" si="267"/>
        <v>55.293547144086638</v>
      </c>
      <c r="AO169" t="str">
        <f t="shared" si="211"/>
        <v/>
      </c>
      <c r="AP169" t="str">
        <f t="shared" si="212"/>
        <v/>
      </c>
      <c r="AR169" s="5">
        <f t="shared" si="249"/>
        <v>18.085292979923153</v>
      </c>
      <c r="AS169" s="5">
        <f t="shared" si="246"/>
        <v>12.499999999999998</v>
      </c>
      <c r="AT169" s="5">
        <f t="shared" si="247"/>
        <v>5.585292979923155</v>
      </c>
      <c r="AU169" s="153">
        <f t="shared" si="248"/>
        <v>0.69116933930108293</v>
      </c>
      <c r="AW169" s="5">
        <f t="shared" si="216"/>
        <v>3.6874999999999991</v>
      </c>
      <c r="AX169" s="5"/>
      <c r="AY169" s="5">
        <f t="shared" si="217"/>
        <v>4.6093749999999991</v>
      </c>
      <c r="AZ169" s="5"/>
      <c r="BA169" s="5">
        <f t="shared" si="218"/>
        <v>0.81365996497645965</v>
      </c>
      <c r="BB169" s="5"/>
      <c r="BC169" s="5"/>
      <c r="BD169" s="153">
        <f t="shared" si="219"/>
        <v>0.35999201535444236</v>
      </c>
      <c r="BE169" s="153">
        <f t="shared" si="220"/>
        <v>0.24063613378095766</v>
      </c>
      <c r="BF169" s="153">
        <f t="shared" si="221"/>
        <v>0.23969246266809116</v>
      </c>
      <c r="BG169" s="153"/>
      <c r="BH169" s="463">
        <f t="shared" si="222"/>
        <v>4.5357987891633568E-2</v>
      </c>
      <c r="BI169" s="463">
        <f t="shared" si="223"/>
        <v>6.0795255084923269E-3</v>
      </c>
      <c r="BJ169" s="463">
        <f t="shared" si="224"/>
        <v>6.9116933930108294E-4</v>
      </c>
      <c r="BK169" s="463">
        <f t="shared" si="225"/>
        <v>2.3766891721199337E-3</v>
      </c>
      <c r="BL169">
        <f t="shared" si="226"/>
        <v>2.6099999999999999E-3</v>
      </c>
      <c r="BM169">
        <f t="shared" si="268"/>
        <v>5.5293547144086642E-7</v>
      </c>
      <c r="BN169">
        <f t="shared" si="269"/>
        <v>6.3772940172171305E-2</v>
      </c>
      <c r="BO169" s="147">
        <f t="shared" si="229"/>
        <v>57.115371911546916</v>
      </c>
      <c r="BP169" s="153">
        <f t="shared" si="230"/>
        <v>2.3599999999999999E-2</v>
      </c>
      <c r="BQ169" s="153">
        <f t="shared" si="231"/>
        <v>2.3599999999999999E-2</v>
      </c>
      <c r="BR169" s="463"/>
      <c r="BT169" s="147">
        <f t="shared" si="232"/>
        <v>47.199999999999996</v>
      </c>
      <c r="BU169" s="463">
        <f t="shared" si="233"/>
        <v>0.10367540089516246</v>
      </c>
      <c r="BV169" s="463">
        <f t="shared" si="234"/>
        <v>4.6092976109313372E-2</v>
      </c>
      <c r="BW169" s="463">
        <f t="shared" si="235"/>
        <v>2.8726238329947139E-3</v>
      </c>
      <c r="BX169" s="463">
        <f t="shared" si="236"/>
        <v>0</v>
      </c>
      <c r="BY169" s="463">
        <f t="shared" si="274"/>
        <v>0.17307134358606807</v>
      </c>
      <c r="BZ169" s="463">
        <f t="shared" si="250"/>
        <v>0.15264100083747054</v>
      </c>
      <c r="CA169" s="549">
        <f t="shared" si="270"/>
        <v>4.6653930402823098E-2</v>
      </c>
      <c r="CB169" s="147">
        <f t="shared" si="238"/>
        <v>525.00727566383216</v>
      </c>
      <c r="CC169" s="153">
        <f t="shared" si="251"/>
        <v>0.33069821416106249</v>
      </c>
      <c r="CD169" s="5">
        <f t="shared" si="239"/>
        <v>2.1239999999999997</v>
      </c>
      <c r="CE169" s="153">
        <f t="shared" si="240"/>
        <v>0.86527948231954666</v>
      </c>
      <c r="CF169" s="5">
        <f t="shared" si="241"/>
        <v>86.527948231954667</v>
      </c>
      <c r="CG169">
        <f t="shared" si="242"/>
        <v>59</v>
      </c>
      <c r="CI169" s="59">
        <f t="shared" si="271"/>
        <v>-50</v>
      </c>
      <c r="CJ169">
        <f t="shared" si="272"/>
        <v>-50</v>
      </c>
    </row>
    <row r="170" spans="5:88" x14ac:dyDescent="0.25">
      <c r="E170" s="150">
        <v>60</v>
      </c>
      <c r="F170" s="191">
        <f t="shared" si="273"/>
        <v>0.06</v>
      </c>
      <c r="G170" s="191">
        <f t="shared" si="252"/>
        <v>0.06</v>
      </c>
      <c r="H170" s="191">
        <f t="shared" si="253"/>
        <v>1.2</v>
      </c>
      <c r="I170" s="191">
        <f t="shared" si="254"/>
        <v>0.96</v>
      </c>
      <c r="J170" s="472">
        <f t="shared" si="186"/>
        <v>9</v>
      </c>
      <c r="K170" s="386">
        <f t="shared" si="187"/>
        <v>19.81181446111869</v>
      </c>
      <c r="L170" s="386">
        <f t="shared" si="188"/>
        <v>29.32</v>
      </c>
      <c r="M170" s="386"/>
      <c r="N170" s="191">
        <f t="shared" si="189"/>
        <v>0.69304229195088674</v>
      </c>
      <c r="O170" s="152">
        <f t="shared" si="255"/>
        <v>1.1695088676671213</v>
      </c>
      <c r="P170" s="152">
        <f t="shared" si="256"/>
        <v>1.6840927694406547</v>
      </c>
      <c r="Q170" s="191">
        <f t="shared" si="192"/>
        <v>5.8475443383356064E-2</v>
      </c>
      <c r="R170" s="191">
        <f t="shared" si="257"/>
        <v>7.3094304229195078E-2</v>
      </c>
      <c r="S170" s="191">
        <f t="shared" si="258"/>
        <v>19.49181446111869</v>
      </c>
      <c r="T170" s="191">
        <f t="shared" si="259"/>
        <v>0.75</v>
      </c>
      <c r="U170" s="191">
        <f t="shared" si="196"/>
        <v>12.499999999999998</v>
      </c>
      <c r="V170" s="191">
        <f t="shared" si="197"/>
        <v>5.6784299197221335</v>
      </c>
      <c r="W170" s="175">
        <f t="shared" si="198"/>
        <v>275.05125701617402</v>
      </c>
      <c r="X170" s="386">
        <f t="shared" si="199"/>
        <v>55.010251403234811</v>
      </c>
      <c r="Z170" s="191">
        <f t="shared" si="200"/>
        <v>0.15</v>
      </c>
      <c r="AA170" s="153">
        <f t="shared" si="201"/>
        <v>1.1356859839444267</v>
      </c>
      <c r="AB170" s="153">
        <f t="shared" si="260"/>
        <v>1.3015494060815209E-2</v>
      </c>
      <c r="AC170" s="153"/>
      <c r="AD170" s="153">
        <f t="shared" si="203"/>
        <v>1.1356859839444267</v>
      </c>
      <c r="AE170" s="317">
        <f t="shared" si="261"/>
        <v>704.42006972866454</v>
      </c>
      <c r="AF170" s="463">
        <f t="shared" si="262"/>
        <v>2.3427889309467372E-2</v>
      </c>
      <c r="AH170" s="153">
        <f t="shared" si="263"/>
        <v>0.28685486624025447</v>
      </c>
      <c r="AI170" s="153">
        <f t="shared" si="264"/>
        <v>0.75</v>
      </c>
      <c r="AJ170" s="153">
        <f t="shared" si="265"/>
        <v>1.6444444444444444</v>
      </c>
      <c r="AL170" s="317">
        <f t="shared" si="266"/>
        <v>60</v>
      </c>
      <c r="AM170" s="147">
        <f t="shared" si="267"/>
        <v>55.010251403234811</v>
      </c>
      <c r="AO170" t="str">
        <f t="shared" si="211"/>
        <v/>
      </c>
      <c r="AP170" t="str">
        <f t="shared" si="212"/>
        <v/>
      </c>
      <c r="AR170" s="5">
        <f t="shared" si="249"/>
        <v>18.178429919722131</v>
      </c>
      <c r="AS170" s="5">
        <f t="shared" si="246"/>
        <v>12.499999999999998</v>
      </c>
      <c r="AT170" s="5">
        <f t="shared" si="247"/>
        <v>5.6784299197221326</v>
      </c>
      <c r="AU170" s="153">
        <f t="shared" si="248"/>
        <v>0.68762814254043503</v>
      </c>
      <c r="AW170" s="5">
        <f t="shared" ref="AW170:AW210" si="275">F170*AS170/Vout_ripple*1000</f>
        <v>3.7499999999999996</v>
      </c>
      <c r="AX170" s="5"/>
      <c r="AY170" s="5">
        <f t="shared" ref="AY170:AY210" si="276">G170*AS170/Vout_ripple2*1000</f>
        <v>4.6874999999999991</v>
      </c>
      <c r="AZ170" s="5"/>
      <c r="BA170" s="5">
        <f t="shared" ref="BA170:BA210" si="277">H170/Efficiency/J170*AT170/Vinripple1</f>
        <v>0.84124887699587148</v>
      </c>
      <c r="BB170" s="5"/>
      <c r="BC170" s="5"/>
      <c r="BD170" s="153">
        <f t="shared" ref="BD170:BD210" si="278">AI170*SQRT(AU170/3)</f>
        <v>0.35906862397922146</v>
      </c>
      <c r="BE170" s="153">
        <f t="shared" ref="BE170:BE210" si="279">AI170*Npri_sec1*SQRT((1-AU170)/3)*(Pout/Pout_total)</f>
        <v>0.24201182465670645</v>
      </c>
      <c r="BF170" s="153">
        <f t="shared" ref="BF170:BF210" si="280">AI170*Npri_sec2*SQRT((1-AU170)/3)*(Pout2/Pout_total)</f>
        <v>0.24106275867766055</v>
      </c>
      <c r="BG170" s="153"/>
      <c r="BH170" s="463">
        <f t="shared" ref="BH170:BH210" si="281">Rdson*BD170^2</f>
        <v>4.5125596854216035E-2</v>
      </c>
      <c r="BI170" s="463">
        <f t="shared" ref="BI170:BI210" si="282">0.5*L170*AI170*AM170*1000*Trise</f>
        <v>6.048377141785668E-3</v>
      </c>
      <c r="BJ170" s="463">
        <f t="shared" ref="BJ170:BJ210" si="283">Qg*Vdd*AM170*1000</f>
        <v>6.876281425404351E-4</v>
      </c>
      <c r="BK170" s="463">
        <f t="shared" ref="BK170:BK210" si="284">0.5*(Coss+Csw)*L170^2*AM170*1000</f>
        <v>2.3645122372954108E-3</v>
      </c>
      <c r="BL170">
        <f t="shared" ref="BL170:BL210" si="285">J170*IQ</f>
        <v>2.6099999999999999E-3</v>
      </c>
      <c r="BM170">
        <f t="shared" si="268"/>
        <v>5.5010251403234813E-7</v>
      </c>
      <c r="BN170">
        <f t="shared" si="269"/>
        <v>6.3456941776341758E-2</v>
      </c>
      <c r="BO170" s="147">
        <f t="shared" ref="BO170:BO210" si="286">SUM(BH170:BL170)*1000</f>
        <v>56.836114375837546</v>
      </c>
      <c r="BP170" s="153">
        <f t="shared" ref="BP170:BP210" si="287">Vfwd2*F170</f>
        <v>2.4E-2</v>
      </c>
      <c r="BQ170" s="153">
        <f t="shared" ref="BQ170:BQ210" si="288">Vfwd2*G170</f>
        <v>2.4E-2</v>
      </c>
      <c r="BR170" s="463"/>
      <c r="BT170" s="147">
        <f t="shared" ref="BT170:BT210" si="289">SUM(BP170:BS170)*1000</f>
        <v>48</v>
      </c>
      <c r="BU170" s="463">
        <f t="shared" ref="BU170:BU210" si="290">Rdcr_pri*BD170^2</f>
        <v>0.10314422138106523</v>
      </c>
      <c r="BV170" s="463">
        <f t="shared" ref="BV170:BV210" si="291">Rdcr_sec*BE170^2</f>
        <v>4.6621499725840072E-2</v>
      </c>
      <c r="BW170" s="463">
        <f t="shared" ref="BW170:BW210" si="292">Rdcr_sec2*BF170^2</f>
        <v>2.9055626810642007E-3</v>
      </c>
      <c r="BX170" s="463">
        <f t="shared" ref="BX170:BX210" si="293">AI170^2.5*AM170^2.5*k_core</f>
        <v>0</v>
      </c>
      <c r="BY170" s="463">
        <f t="shared" si="274"/>
        <v>0.17310610433697873</v>
      </c>
      <c r="BZ170" s="463">
        <f t="shared" si="250"/>
        <v>0.15267128378796951</v>
      </c>
      <c r="CA170" s="549">
        <f t="shared" si="270"/>
        <v>4.641489962147937E-2</v>
      </c>
      <c r="CB170" s="147">
        <f t="shared" ref="CB170:CB192" si="294">SUM(BU170:CA170)*1000</f>
        <v>524.86357153439712</v>
      </c>
      <c r="CC170" s="153">
        <f t="shared" si="251"/>
        <v>0.33097794573479988</v>
      </c>
      <c r="CD170" s="5">
        <f t="shared" ref="CD170:CD192" si="295">MIN(H170+I170,O170+P170)</f>
        <v>2.16</v>
      </c>
      <c r="CE170" s="153">
        <f t="shared" ref="CE170:CE192" si="296">CD170/(CD170+CC170)</f>
        <v>0.8671293150942907</v>
      </c>
      <c r="CF170" s="5">
        <f t="shared" ref="CF170:CF192" si="297">CE170*100</f>
        <v>86.712931509429069</v>
      </c>
      <c r="CG170">
        <f t="shared" ref="CG170:CG192" si="298">F170/Iout*100</f>
        <v>60</v>
      </c>
      <c r="CI170" s="59">
        <f t="shared" si="271"/>
        <v>-50</v>
      </c>
      <c r="CJ170">
        <f t="shared" si="272"/>
        <v>-50</v>
      </c>
    </row>
    <row r="171" spans="5:88" x14ac:dyDescent="0.25">
      <c r="E171" s="150">
        <v>61</v>
      </c>
      <c r="F171" s="191">
        <f t="shared" si="273"/>
        <v>6.0999999999999999E-2</v>
      </c>
      <c r="G171" s="191">
        <f t="shared" si="252"/>
        <v>6.0999999999999999E-2</v>
      </c>
      <c r="H171" s="191">
        <f t="shared" si="253"/>
        <v>1.22</v>
      </c>
      <c r="I171" s="191">
        <f t="shared" si="254"/>
        <v>0.97599999999999998</v>
      </c>
      <c r="J171" s="472">
        <f t="shared" si="186"/>
        <v>9</v>
      </c>
      <c r="K171" s="386">
        <f t="shared" si="187"/>
        <v>19.492276519133135</v>
      </c>
      <c r="L171" s="386">
        <f t="shared" si="188"/>
        <v>29.32</v>
      </c>
      <c r="M171" s="386"/>
      <c r="N171" s="191">
        <f t="shared" si="189"/>
        <v>0.69304229195088674</v>
      </c>
      <c r="O171" s="152">
        <f t="shared" si="255"/>
        <v>1.1695088676671213</v>
      </c>
      <c r="P171" s="152">
        <f t="shared" si="256"/>
        <v>1.6840927694406547</v>
      </c>
      <c r="Q171" s="191">
        <f t="shared" si="192"/>
        <v>5.8475443383356064E-2</v>
      </c>
      <c r="R171" s="191">
        <f t="shared" si="257"/>
        <v>7.3094304229195078E-2</v>
      </c>
      <c r="S171" s="191">
        <f t="shared" si="258"/>
        <v>19.172276519133135</v>
      </c>
      <c r="T171" s="191">
        <f t="shared" si="259"/>
        <v>0.75</v>
      </c>
      <c r="U171" s="191">
        <f t="shared" si="196"/>
        <v>12.499999999999998</v>
      </c>
      <c r="V171" s="191">
        <f t="shared" si="197"/>
        <v>5.7715167281550102</v>
      </c>
      <c r="W171" s="175">
        <f t="shared" si="198"/>
        <v>273.64996975294241</v>
      </c>
      <c r="X171" s="386">
        <f t="shared" si="199"/>
        <v>54.729993950588494</v>
      </c>
      <c r="Z171" s="191">
        <f t="shared" si="200"/>
        <v>0.15000000000000002</v>
      </c>
      <c r="AA171" s="153">
        <f t="shared" si="201"/>
        <v>1.1543033456310021</v>
      </c>
      <c r="AB171" s="153">
        <f t="shared" si="260"/>
        <v>1.31614614840685E-2</v>
      </c>
      <c r="AC171" s="153"/>
      <c r="AD171" s="153">
        <f t="shared" si="203"/>
        <v>1.1543033456310019</v>
      </c>
      <c r="AE171" s="317">
        <f t="shared" si="261"/>
        <v>704.60969935829416</v>
      </c>
      <c r="AF171" s="463">
        <f t="shared" si="262"/>
        <v>2.3690630671323293E-2</v>
      </c>
      <c r="AH171" s="153">
        <f t="shared" si="263"/>
        <v>0.28923544536785745</v>
      </c>
      <c r="AI171" s="153">
        <f t="shared" si="264"/>
        <v>0.75</v>
      </c>
      <c r="AJ171" s="153">
        <f t="shared" si="265"/>
        <v>1.6444444444444444</v>
      </c>
      <c r="AL171" s="317">
        <f t="shared" si="266"/>
        <v>61</v>
      </c>
      <c r="AM171" s="147">
        <f t="shared" si="267"/>
        <v>54.729993950588494</v>
      </c>
      <c r="AO171" t="str">
        <f t="shared" si="211"/>
        <v/>
      </c>
      <c r="AP171" t="str">
        <f t="shared" si="212"/>
        <v/>
      </c>
      <c r="AR171" s="5">
        <f t="shared" si="249"/>
        <v>18.271516728155007</v>
      </c>
      <c r="AS171" s="5">
        <f t="shared" si="246"/>
        <v>12.499999999999998</v>
      </c>
      <c r="AT171" s="5">
        <f t="shared" si="247"/>
        <v>5.7715167281550084</v>
      </c>
      <c r="AU171" s="153">
        <f t="shared" si="248"/>
        <v>0.68412492438235606</v>
      </c>
      <c r="AW171" s="5">
        <f t="shared" si="275"/>
        <v>3.8124999999999991</v>
      </c>
      <c r="AX171" s="5"/>
      <c r="AY171" s="5">
        <f t="shared" si="276"/>
        <v>4.7656249999999991</v>
      </c>
      <c r="AZ171" s="5"/>
      <c r="BA171" s="5">
        <f t="shared" si="277"/>
        <v>0.86929017387026042</v>
      </c>
      <c r="BB171" s="5"/>
      <c r="BC171" s="5"/>
      <c r="BD171" s="153">
        <f t="shared" si="278"/>
        <v>0.35815279326244509</v>
      </c>
      <c r="BE171" s="153">
        <f t="shared" si="279"/>
        <v>0.24336510982124829</v>
      </c>
      <c r="BF171" s="153">
        <f t="shared" si="280"/>
        <v>0.24241073684155712</v>
      </c>
      <c r="BG171" s="153"/>
      <c r="BH171" s="463">
        <f t="shared" si="281"/>
        <v>4.4895698162592104E-2</v>
      </c>
      <c r="BI171" s="463">
        <f t="shared" si="282"/>
        <v>6.0175628348672055E-3</v>
      </c>
      <c r="BJ171" s="463">
        <f t="shared" si="283"/>
        <v>6.8412492438235607E-4</v>
      </c>
      <c r="BK171" s="463">
        <f t="shared" si="284"/>
        <v>2.3524658975774197E-3</v>
      </c>
      <c r="BL171">
        <f t="shared" si="285"/>
        <v>2.6099999999999999E-3</v>
      </c>
      <c r="BM171">
        <f t="shared" si="268"/>
        <v>5.4729993950588495E-7</v>
      </c>
      <c r="BN171">
        <f t="shared" si="269"/>
        <v>6.3144359283850413E-2</v>
      </c>
      <c r="BO171" s="147">
        <f t="shared" si="286"/>
        <v>56.559851819419087</v>
      </c>
      <c r="BP171" s="153">
        <f t="shared" si="287"/>
        <v>2.4400000000000002E-2</v>
      </c>
      <c r="BQ171" s="153">
        <f t="shared" si="288"/>
        <v>2.4400000000000002E-2</v>
      </c>
      <c r="BR171" s="463"/>
      <c r="BT171" s="147">
        <f t="shared" si="289"/>
        <v>48.800000000000004</v>
      </c>
      <c r="BU171" s="463">
        <f t="shared" si="290"/>
        <v>0.10261873865735338</v>
      </c>
      <c r="BV171" s="463">
        <f t="shared" si="291"/>
        <v>4.7144355035933359E-2</v>
      </c>
      <c r="BW171" s="463">
        <f t="shared" si="292"/>
        <v>2.9381482668033327E-3</v>
      </c>
      <c r="BX171" s="463">
        <f t="shared" si="293"/>
        <v>0</v>
      </c>
      <c r="BY171" s="463">
        <f t="shared" si="274"/>
        <v>0.17314049245380309</v>
      </c>
      <c r="BZ171" s="463">
        <f t="shared" si="250"/>
        <v>0.15270124196009008</v>
      </c>
      <c r="CA171" s="549">
        <f t="shared" si="270"/>
        <v>4.6178432395809044E-2</v>
      </c>
      <c r="CB171" s="147">
        <f t="shared" si="294"/>
        <v>524.72140876979222</v>
      </c>
      <c r="CC171" s="153">
        <f t="shared" si="251"/>
        <v>0.33126328413346257</v>
      </c>
      <c r="CD171" s="5">
        <f t="shared" si="295"/>
        <v>2.1959999999999997</v>
      </c>
      <c r="CE171" s="153">
        <f t="shared" si="296"/>
        <v>0.86892411003903591</v>
      </c>
      <c r="CF171" s="5">
        <f t="shared" si="297"/>
        <v>86.89241100390359</v>
      </c>
      <c r="CG171">
        <f t="shared" si="298"/>
        <v>61</v>
      </c>
      <c r="CI171" s="59">
        <f t="shared" si="271"/>
        <v>-50</v>
      </c>
      <c r="CJ171">
        <f t="shared" si="272"/>
        <v>-50</v>
      </c>
    </row>
    <row r="172" spans="5:88" x14ac:dyDescent="0.25">
      <c r="E172" s="150">
        <v>62</v>
      </c>
      <c r="F172" s="191">
        <f t="shared" si="273"/>
        <v>6.2E-2</v>
      </c>
      <c r="G172" s="191">
        <f t="shared" si="252"/>
        <v>6.2E-2</v>
      </c>
      <c r="H172" s="191">
        <f t="shared" si="253"/>
        <v>1.24</v>
      </c>
      <c r="I172" s="191">
        <f t="shared" si="254"/>
        <v>0.99199999999999999</v>
      </c>
      <c r="J172" s="472">
        <f t="shared" si="186"/>
        <v>9</v>
      </c>
      <c r="K172" s="386">
        <f t="shared" si="187"/>
        <v>19.183046252695505</v>
      </c>
      <c r="L172" s="386">
        <f t="shared" si="188"/>
        <v>29.32</v>
      </c>
      <c r="M172" s="386"/>
      <c r="N172" s="191">
        <f t="shared" si="189"/>
        <v>0.69304229195088674</v>
      </c>
      <c r="O172" s="152">
        <f t="shared" si="255"/>
        <v>1.1695088676671213</v>
      </c>
      <c r="P172" s="152">
        <f t="shared" si="256"/>
        <v>1.6840927694406547</v>
      </c>
      <c r="Q172" s="191">
        <f t="shared" si="192"/>
        <v>5.8475443383356064E-2</v>
      </c>
      <c r="R172" s="191">
        <f t="shared" si="257"/>
        <v>7.3094304229195078E-2</v>
      </c>
      <c r="S172" s="191">
        <f t="shared" si="258"/>
        <v>18.863046252695504</v>
      </c>
      <c r="T172" s="191">
        <f t="shared" si="259"/>
        <v>0.75</v>
      </c>
      <c r="U172" s="191">
        <f t="shared" si="196"/>
        <v>12.499999999999998</v>
      </c>
      <c r="V172" s="191">
        <f t="shared" si="197"/>
        <v>5.8645534456860346</v>
      </c>
      <c r="W172" s="175">
        <f t="shared" si="198"/>
        <v>272.26363084665894</v>
      </c>
      <c r="X172" s="386">
        <f t="shared" si="199"/>
        <v>54.452726169331775</v>
      </c>
      <c r="Z172" s="191">
        <f t="shared" si="200"/>
        <v>0.15</v>
      </c>
      <c r="AA172" s="153">
        <f t="shared" si="201"/>
        <v>1.1729106891372068</v>
      </c>
      <c r="AB172" s="153">
        <f t="shared" si="260"/>
        <v>1.3305871786806367E-2</v>
      </c>
      <c r="AC172" s="153"/>
      <c r="AD172" s="153">
        <f t="shared" si="203"/>
        <v>1.1729106891372068</v>
      </c>
      <c r="AE172" s="317">
        <f t="shared" si="261"/>
        <v>704.7993289879239</v>
      </c>
      <c r="AF172" s="463">
        <f t="shared" si="262"/>
        <v>2.3950569216251459E-2</v>
      </c>
      <c r="AH172" s="153">
        <f t="shared" si="263"/>
        <v>0.29159659022109885</v>
      </c>
      <c r="AI172" s="153">
        <f t="shared" si="264"/>
        <v>0.75</v>
      </c>
      <c r="AJ172" s="153">
        <f t="shared" si="265"/>
        <v>1.6444444444444444</v>
      </c>
      <c r="AL172" s="317">
        <f t="shared" si="266"/>
        <v>62</v>
      </c>
      <c r="AM172" s="147">
        <f t="shared" si="267"/>
        <v>54.452726169331775</v>
      </c>
      <c r="AO172" t="str">
        <f t="shared" si="211"/>
        <v/>
      </c>
      <c r="AP172" t="str">
        <f t="shared" si="212"/>
        <v/>
      </c>
      <c r="AR172" s="5">
        <f t="shared" si="249"/>
        <v>18.364553445686035</v>
      </c>
      <c r="AS172" s="5">
        <f t="shared" si="246"/>
        <v>12.499999999999998</v>
      </c>
      <c r="AT172" s="5">
        <f t="shared" si="247"/>
        <v>5.8645534456860364</v>
      </c>
      <c r="AU172" s="153">
        <f t="shared" si="248"/>
        <v>0.68065907711664708</v>
      </c>
      <c r="AW172" s="5">
        <f t="shared" si="275"/>
        <v>3.8749999999999996</v>
      </c>
      <c r="AX172" s="5"/>
      <c r="AY172" s="5">
        <f t="shared" si="276"/>
        <v>4.8437499999999991</v>
      </c>
      <c r="AZ172" s="5"/>
      <c r="BA172" s="5">
        <f t="shared" si="277"/>
        <v>0.89778349045070194</v>
      </c>
      <c r="BB172" s="5"/>
      <c r="BC172" s="5"/>
      <c r="BD172" s="153">
        <f t="shared" si="278"/>
        <v>0.35724442187299621</v>
      </c>
      <c r="BE172" s="153">
        <f t="shared" si="279"/>
        <v>0.24469659384762321</v>
      </c>
      <c r="BF172" s="153">
        <f t="shared" si="280"/>
        <v>0.24373699936194626</v>
      </c>
      <c r="BG172" s="153"/>
      <c r="BH172" s="463">
        <f t="shared" si="281"/>
        <v>4.4668251935779953E-2</v>
      </c>
      <c r="BI172" s="463">
        <f t="shared" si="282"/>
        <v>5.9870772423180289E-3</v>
      </c>
      <c r="BJ172" s="463">
        <f t="shared" si="283"/>
        <v>6.8065907711664718E-4</v>
      </c>
      <c r="BK172" s="463">
        <f t="shared" si="284"/>
        <v>2.3405480632635281E-3</v>
      </c>
      <c r="BL172">
        <f t="shared" si="285"/>
        <v>2.6099999999999999E-3</v>
      </c>
      <c r="BM172">
        <f t="shared" si="268"/>
        <v>5.4452726169331779E-7</v>
      </c>
      <c r="BN172">
        <f t="shared" si="269"/>
        <v>6.2835137604222782E-2</v>
      </c>
      <c r="BO172" s="147">
        <f t="shared" si="286"/>
        <v>56.286536318478156</v>
      </c>
      <c r="BP172" s="153">
        <f t="shared" si="287"/>
        <v>2.4800000000000003E-2</v>
      </c>
      <c r="BQ172" s="153">
        <f t="shared" si="288"/>
        <v>2.4800000000000003E-2</v>
      </c>
      <c r="BR172" s="463"/>
      <c r="BT172" s="147">
        <f t="shared" si="289"/>
        <v>49.600000000000009</v>
      </c>
      <c r="BU172" s="463">
        <f t="shared" si="290"/>
        <v>0.10209886156749703</v>
      </c>
      <c r="BV172" s="463">
        <f t="shared" si="291"/>
        <v>4.7661632740340423E-2</v>
      </c>
      <c r="BW172" s="463">
        <f t="shared" si="292"/>
        <v>2.9703862428982698E-3</v>
      </c>
      <c r="BX172" s="463">
        <f t="shared" si="293"/>
        <v>0</v>
      </c>
      <c r="BY172" s="463">
        <f t="shared" si="274"/>
        <v>0.17317451389653307</v>
      </c>
      <c r="BZ172" s="463">
        <f t="shared" si="250"/>
        <v>0.15273088055073572</v>
      </c>
      <c r="CA172" s="549">
        <f t="shared" si="270"/>
        <v>4.5944487705373682E-2</v>
      </c>
      <c r="CB172" s="147">
        <f t="shared" si="294"/>
        <v>524.58076270337824</v>
      </c>
      <c r="CC172" s="153">
        <f t="shared" si="251"/>
        <v>0.33155413920612953</v>
      </c>
      <c r="CD172" s="5">
        <f t="shared" si="295"/>
        <v>2.2320000000000002</v>
      </c>
      <c r="CE172" s="153">
        <f t="shared" si="296"/>
        <v>0.87066622306295283</v>
      </c>
      <c r="CF172" s="5">
        <f t="shared" si="297"/>
        <v>87.066622306295287</v>
      </c>
      <c r="CG172">
        <f t="shared" si="298"/>
        <v>62</v>
      </c>
      <c r="CI172" s="59">
        <f t="shared" si="271"/>
        <v>-50</v>
      </c>
      <c r="CJ172">
        <f t="shared" si="272"/>
        <v>-50</v>
      </c>
    </row>
    <row r="173" spans="5:88" x14ac:dyDescent="0.25">
      <c r="E173" s="150">
        <v>63</v>
      </c>
      <c r="F173" s="191">
        <f t="shared" si="273"/>
        <v>6.3E-2</v>
      </c>
      <c r="G173" s="191">
        <f t="shared" si="252"/>
        <v>6.3E-2</v>
      </c>
      <c r="H173" s="191">
        <f t="shared" si="253"/>
        <v>1.26</v>
      </c>
      <c r="I173" s="191">
        <f t="shared" si="254"/>
        <v>1.008</v>
      </c>
      <c r="J173" s="472">
        <f t="shared" si="186"/>
        <v>9</v>
      </c>
      <c r="K173" s="386">
        <f t="shared" si="187"/>
        <v>18.883632820113036</v>
      </c>
      <c r="L173" s="386">
        <f t="shared" si="188"/>
        <v>29.32</v>
      </c>
      <c r="M173" s="386"/>
      <c r="N173" s="191">
        <f t="shared" si="189"/>
        <v>0.69304229195088674</v>
      </c>
      <c r="O173" s="152">
        <f t="shared" si="255"/>
        <v>1.1695088676671213</v>
      </c>
      <c r="P173" s="152">
        <f t="shared" si="256"/>
        <v>1.6840927694406547</v>
      </c>
      <c r="Q173" s="191">
        <f t="shared" si="192"/>
        <v>5.8475443383356064E-2</v>
      </c>
      <c r="R173" s="191">
        <f t="shared" si="257"/>
        <v>7.3094304229195078E-2</v>
      </c>
      <c r="S173" s="191">
        <f t="shared" si="258"/>
        <v>18.563632820113035</v>
      </c>
      <c r="T173" s="191">
        <f t="shared" si="259"/>
        <v>0.75</v>
      </c>
      <c r="U173" s="191">
        <f t="shared" si="196"/>
        <v>12.499999999999998</v>
      </c>
      <c r="V173" s="191">
        <f t="shared" si="197"/>
        <v>5.9575401127359235</v>
      </c>
      <c r="W173" s="175">
        <f t="shared" si="198"/>
        <v>270.89200237197053</v>
      </c>
      <c r="X173" s="386">
        <f t="shared" si="199"/>
        <v>54.17840047439411</v>
      </c>
      <c r="Z173" s="191">
        <f t="shared" si="200"/>
        <v>0.15</v>
      </c>
      <c r="AA173" s="153">
        <f t="shared" si="201"/>
        <v>1.1915080225471846</v>
      </c>
      <c r="AB173" s="153">
        <f t="shared" si="260"/>
        <v>1.3448749752919743E-2</v>
      </c>
      <c r="AC173" s="153"/>
      <c r="AD173" s="153">
        <f t="shared" si="203"/>
        <v>1.1915080225471846</v>
      </c>
      <c r="AE173" s="317">
        <f t="shared" si="261"/>
        <v>704.98895861755329</v>
      </c>
      <c r="AF173" s="463">
        <f t="shared" si="262"/>
        <v>2.4207749555255537E-2</v>
      </c>
      <c r="AH173" s="153">
        <f t="shared" si="263"/>
        <v>0.29393876913398137</v>
      </c>
      <c r="AI173" s="153">
        <f t="shared" si="264"/>
        <v>0.75</v>
      </c>
      <c r="AJ173" s="153">
        <f t="shared" si="265"/>
        <v>1.6444444444444444</v>
      </c>
      <c r="AL173" s="317">
        <f t="shared" si="266"/>
        <v>63</v>
      </c>
      <c r="AM173" s="147">
        <f t="shared" si="267"/>
        <v>54.17840047439411</v>
      </c>
      <c r="AO173" t="str">
        <f t="shared" si="211"/>
        <v/>
      </c>
      <c r="AP173" t="str">
        <f t="shared" si="212"/>
        <v/>
      </c>
      <c r="AR173" s="5">
        <f t="shared" si="249"/>
        <v>18.45754011273592</v>
      </c>
      <c r="AS173" s="5">
        <f t="shared" si="246"/>
        <v>12.499999999999998</v>
      </c>
      <c r="AT173" s="5">
        <f t="shared" si="247"/>
        <v>5.9575401127359218</v>
      </c>
      <c r="AU173" s="153">
        <f t="shared" si="248"/>
        <v>0.67723000592992622</v>
      </c>
      <c r="AW173" s="5">
        <f t="shared" si="275"/>
        <v>3.9374999999999991</v>
      </c>
      <c r="AX173" s="5"/>
      <c r="AY173" s="5">
        <f t="shared" si="276"/>
        <v>4.9218749999999991</v>
      </c>
      <c r="AZ173" s="5"/>
      <c r="BA173" s="5">
        <f t="shared" si="277"/>
        <v>0.92672846198114345</v>
      </c>
      <c r="BB173" s="5"/>
      <c r="BC173" s="5"/>
      <c r="BD173" s="153">
        <f t="shared" si="278"/>
        <v>0.35634341036682743</v>
      </c>
      <c r="BE173" s="153">
        <f t="shared" si="279"/>
        <v>0.24600685740064004</v>
      </c>
      <c r="BF173" s="153">
        <f t="shared" si="280"/>
        <v>0.24504212462651989</v>
      </c>
      <c r="BG173" s="153"/>
      <c r="BH173" s="463">
        <f t="shared" si="281"/>
        <v>4.4443219139151405E-2</v>
      </c>
      <c r="BI173" s="463">
        <f t="shared" si="282"/>
        <v>5.9569151321596323E-3</v>
      </c>
      <c r="BJ173" s="463">
        <f t="shared" si="283"/>
        <v>6.7723000592992627E-4</v>
      </c>
      <c r="BK173" s="463">
        <f t="shared" si="284"/>
        <v>2.3287566889989395E-3</v>
      </c>
      <c r="BL173">
        <f t="shared" si="285"/>
        <v>2.6099999999999999E-3</v>
      </c>
      <c r="BM173">
        <f t="shared" si="268"/>
        <v>5.4178400474394114E-7</v>
      </c>
      <c r="BN173">
        <f t="shared" si="269"/>
        <v>6.2529222825289429E-2</v>
      </c>
      <c r="BO173" s="147">
        <f t="shared" si="286"/>
        <v>56.016120966239903</v>
      </c>
      <c r="BP173" s="153">
        <f t="shared" si="287"/>
        <v>2.52E-2</v>
      </c>
      <c r="BQ173" s="153">
        <f t="shared" si="288"/>
        <v>2.52E-2</v>
      </c>
      <c r="BR173" s="463"/>
      <c r="BT173" s="147">
        <f t="shared" si="289"/>
        <v>50.4</v>
      </c>
      <c r="BU173" s="463">
        <f t="shared" si="290"/>
        <v>0.10158450088948895</v>
      </c>
      <c r="BV173" s="463">
        <f t="shared" si="291"/>
        <v>4.8173421614958523E-2</v>
      </c>
      <c r="BW173" s="463">
        <f t="shared" si="292"/>
        <v>3.0022821420739453E-3</v>
      </c>
      <c r="BX173" s="463">
        <f t="shared" si="293"/>
        <v>0</v>
      </c>
      <c r="BY173" s="463">
        <f t="shared" si="274"/>
        <v>0.17320817449873419</v>
      </c>
      <c r="BZ173" s="463">
        <f t="shared" si="250"/>
        <v>0.15276020464652143</v>
      </c>
      <c r="CA173" s="549">
        <f t="shared" si="270"/>
        <v>4.571302540027003E-2</v>
      </c>
      <c r="CB173" s="147">
        <f t="shared" si="294"/>
        <v>524.44160919204705</v>
      </c>
      <c r="CC173" s="153">
        <f t="shared" si="251"/>
        <v>0.33185042272429366</v>
      </c>
      <c r="CD173" s="5">
        <f t="shared" si="295"/>
        <v>2.2679999999999998</v>
      </c>
      <c r="CE173" s="153">
        <f t="shared" si="296"/>
        <v>0.87235787881344384</v>
      </c>
      <c r="CF173" s="5">
        <f t="shared" si="297"/>
        <v>87.235787881344379</v>
      </c>
      <c r="CG173">
        <f t="shared" si="298"/>
        <v>63</v>
      </c>
      <c r="CI173" s="59">
        <f t="shared" si="271"/>
        <v>-50</v>
      </c>
      <c r="CJ173">
        <f t="shared" si="272"/>
        <v>-50</v>
      </c>
    </row>
    <row r="174" spans="5:88" x14ac:dyDescent="0.25">
      <c r="E174" s="150">
        <v>64</v>
      </c>
      <c r="F174" s="191">
        <f t="shared" si="273"/>
        <v>6.4000000000000001E-2</v>
      </c>
      <c r="G174" s="191">
        <f t="shared" ref="G174:G210" si="299">IF(PLOT_TYPE=1, E174/100*Iout2, min_I*EXP(Q174*rr/100))</f>
        <v>6.4000000000000001E-2</v>
      </c>
      <c r="H174" s="191">
        <f t="shared" ref="H174:H210" si="300">F174*Vout</f>
        <v>1.28</v>
      </c>
      <c r="I174" s="191">
        <f t="shared" ref="I174:I210" si="301">Vout2*G174</f>
        <v>1.024</v>
      </c>
      <c r="J174" s="472">
        <f t="shared" ref="J174:J210" si="302">VIN_min</f>
        <v>9</v>
      </c>
      <c r="K174" s="386">
        <f t="shared" ref="K174:K210" si="303">(S174+Vfwd1)*Nps</f>
        <v>18.593576057298769</v>
      </c>
      <c r="L174" s="386">
        <f t="shared" ref="L174:L210" si="304">(Vout+Vfwd1)*Nps+J174</f>
        <v>29.32</v>
      </c>
      <c r="M174" s="386"/>
      <c r="N174" s="191">
        <f t="shared" ref="N174:N210" si="305">(Vout+Vfwd1)*Nps/((Vout+Vfwd1)*Nps+J174)</f>
        <v>0.69304229195088674</v>
      </c>
      <c r="O174" s="152">
        <f t="shared" ref="O174:O205" si="306">N174*J174*Isw_max*0.5*Efficiency*Pout/(Pout+Pout2)</f>
        <v>1.1695088676671213</v>
      </c>
      <c r="P174" s="152">
        <f t="shared" ref="P174:P210" si="307">N174*J174*Isw_max*0.5*Efficiency*(Pout2/Pout_total)</f>
        <v>1.6840927694406547</v>
      </c>
      <c r="Q174" s="191">
        <f t="shared" ref="Q174:Q210" si="308">O174/Vout</f>
        <v>5.8475443383356064E-2</v>
      </c>
      <c r="R174" s="191">
        <f t="shared" ref="R174:R210" si="309">O174/Vout2</f>
        <v>7.3094304229195078E-2</v>
      </c>
      <c r="S174" s="191">
        <f t="shared" ref="S174:S210" si="310">MIN(Vout,O174/F174)</f>
        <v>18.273576057298769</v>
      </c>
      <c r="T174" s="191">
        <f t="shared" ref="T174:T210" si="311">MIN(2*(Vout*F174+Vout2*G174)/(Efficiency*J174*N174), Isw_max)</f>
        <v>0.75</v>
      </c>
      <c r="U174" s="191">
        <f t="shared" ref="U174:U210" si="312">L*T174/J174*1000000</f>
        <v>12.499999999999998</v>
      </c>
      <c r="V174" s="191">
        <f t="shared" ref="V174:V210" si="313">L*T174/K174*1000000</f>
        <v>6.0504767696819126</v>
      </c>
      <c r="W174" s="175">
        <f t="shared" ref="W174:W210" si="314">IF(1/((350000*L)*(1/J174+1/K174))&gt;Isw_min, 350, 0.001/((Isw_min*L)*(1/J174+1/K174)))</f>
        <v>269.53485142612516</v>
      </c>
      <c r="X174" s="386">
        <f t="shared" ref="X174:X210" si="315">MIN(1/(U174+V174)*1000, 350)</f>
        <v>53.906970285225029</v>
      </c>
      <c r="Z174" s="191">
        <f t="shared" ref="Z174:Z210" si="316">1/((W174*1000*L)*(1/J174+1/K174))</f>
        <v>0.15000000000000002</v>
      </c>
      <c r="AA174" s="153">
        <f t="shared" ref="AA174:AA210" si="317">L*Z174/K174*1000000</f>
        <v>1.2100953539363826</v>
      </c>
      <c r="AB174" s="153">
        <f t="shared" ref="AB174:AB205" si="318">0.5*AA174*Z174*Nps*W174/1000*(Pout/(Pout+Pout2))</f>
        <v>1.3590119643111969E-2</v>
      </c>
      <c r="AC174" s="153"/>
      <c r="AD174" s="153">
        <f t="shared" ref="AD174:AD210" si="319">L*Isw_min/K174*1000000</f>
        <v>1.2100953539363823</v>
      </c>
      <c r="AE174" s="317">
        <f t="shared" ref="AE174:AE205" si="320">MAX(10, F174/(0.5*AD174/1000000*Isw_min*Nps)/1000*Pout_total/Pout)</f>
        <v>705.17858824718314</v>
      </c>
      <c r="AF174" s="463">
        <f t="shared" ref="AF174:AF210" si="321">0.5*AD174/1000000*Isw_min*Nps*W174*1000*(Pout/Pout_total)</f>
        <v>2.4462215357601534E-2</v>
      </c>
      <c r="AH174" s="153">
        <f t="shared" ref="AH174:AH210" si="322">SQRT((H174+I174)/(0.5*L*Fsw_DCM))</f>
        <v>0.29626243192721652</v>
      </c>
      <c r="AI174" s="153">
        <f t="shared" ref="AI174:AI205" si="323">MAX(IF(F174&gt;AB174,T174,AH174),Isw_min)</f>
        <v>0.75</v>
      </c>
      <c r="AJ174" s="153">
        <f t="shared" ref="AJ174:AJ205" si="324">IF(F174&gt;AF174, (AI174-Isw_min)/1.08*0.8+1.2, AE174*0.2/350+1)</f>
        <v>1.6444444444444444</v>
      </c>
      <c r="AL174" s="317">
        <f t="shared" ref="AL174:AL210" si="325">F174*1000</f>
        <v>64</v>
      </c>
      <c r="AM174" s="147">
        <f t="shared" ref="AM174:AM210" si="326">IF(F174&gt;AF174, X174, AE174)</f>
        <v>53.906970285225029</v>
      </c>
      <c r="AO174" t="str">
        <f t="shared" ref="AO174:AO210" si="327">IF(H174&gt;O174, "",AL174)</f>
        <v/>
      </c>
      <c r="AP174" t="str">
        <f t="shared" ref="AP174:AP210" si="328">IF(H174&gt;O174, "",AM174)</f>
        <v/>
      </c>
      <c r="AR174" s="5">
        <f t="shared" si="249"/>
        <v>18.550476769681911</v>
      </c>
      <c r="AS174" s="5">
        <f t="shared" si="246"/>
        <v>12.499999999999998</v>
      </c>
      <c r="AT174" s="5">
        <f t="shared" si="247"/>
        <v>6.0504767696819126</v>
      </c>
      <c r="AU174" s="153">
        <f t="shared" si="248"/>
        <v>0.67383712856531275</v>
      </c>
      <c r="AW174" s="5">
        <f t="shared" si="275"/>
        <v>4</v>
      </c>
      <c r="AX174" s="5"/>
      <c r="AY174" s="5">
        <f t="shared" si="276"/>
        <v>4.9999999999999991</v>
      </c>
      <c r="AZ174" s="5"/>
      <c r="BA174" s="5">
        <f t="shared" si="277"/>
        <v>0.95612472409788252</v>
      </c>
      <c r="BB174" s="5"/>
      <c r="BC174" s="5"/>
      <c r="BD174" s="153">
        <f t="shared" si="278"/>
        <v>0.35544966114204712</v>
      </c>
      <c r="BE174" s="153">
        <f t="shared" si="279"/>
        <v>0.24729645851488424</v>
      </c>
      <c r="BF174" s="153">
        <f t="shared" si="280"/>
        <v>0.24632666848149257</v>
      </c>
      <c r="BG174" s="153"/>
      <c r="BH174" s="463">
        <f t="shared" si="281"/>
        <v>4.4220561562098644E-2</v>
      </c>
      <c r="BI174" s="463">
        <f t="shared" si="282"/>
        <v>5.9270713828604923E-3</v>
      </c>
      <c r="BJ174" s="463">
        <f t="shared" si="283"/>
        <v>6.7383712856531285E-4</v>
      </c>
      <c r="BK174" s="463">
        <f t="shared" si="284"/>
        <v>2.317089772606262E-3</v>
      </c>
      <c r="BL174">
        <f t="shared" si="285"/>
        <v>2.6099999999999999E-3</v>
      </c>
      <c r="BM174">
        <f t="shared" ref="BM174:BM210" si="329">(J174-Vdd)*Qg*AM174</f>
        <v>5.390697028522503E-7</v>
      </c>
      <c r="BN174">
        <f t="shared" ref="BN174:BN205" si="330">(BI174+BJ174+BK174+BL174+BM174+BH174*(1+RdsonTC*(Ta-25)))/(1-BH174*RdsonTC*ThetaJA)</f>
        <v>6.2226562181850645E-2</v>
      </c>
      <c r="BO174" s="147">
        <f t="shared" si="286"/>
        <v>55.748559846130718</v>
      </c>
      <c r="BP174" s="153">
        <f t="shared" si="287"/>
        <v>2.5600000000000001E-2</v>
      </c>
      <c r="BQ174" s="153">
        <f t="shared" si="288"/>
        <v>2.5600000000000001E-2</v>
      </c>
      <c r="BR174" s="463"/>
      <c r="BT174" s="147">
        <f t="shared" si="289"/>
        <v>51.2</v>
      </c>
      <c r="BU174" s="463">
        <f t="shared" si="290"/>
        <v>0.10107556928479691</v>
      </c>
      <c r="BV174" s="463">
        <f t="shared" si="291"/>
        <v>4.8679808561627083E-2</v>
      </c>
      <c r="BW174" s="463">
        <f t="shared" si="292"/>
        <v>3.0338413802595571E-3</v>
      </c>
      <c r="BX174" s="463">
        <f t="shared" si="293"/>
        <v>0</v>
      </c>
      <c r="BY174" s="463">
        <f t="shared" si="274"/>
        <v>0.17324147997087969</v>
      </c>
      <c r="BZ174" s="463">
        <f t="shared" si="250"/>
        <v>0.15278921922668356</v>
      </c>
      <c r="CA174" s="549">
        <f t="shared" ref="CA174:CA210" si="331">0.5*Lleak*0.000000001*AI174^2*AM174*1000</f>
        <v>4.548400617815862E-2</v>
      </c>
      <c r="CB174" s="147">
        <f t="shared" si="294"/>
        <v>524.30392460240535</v>
      </c>
      <c r="CC174" s="153">
        <f t="shared" si="251"/>
        <v>0.33215204833088896</v>
      </c>
      <c r="CD174" s="5">
        <f t="shared" si="295"/>
        <v>2.3040000000000003</v>
      </c>
      <c r="CE174" s="153">
        <f t="shared" si="296"/>
        <v>0.87400117965836044</v>
      </c>
      <c r="CF174" s="5">
        <f t="shared" si="297"/>
        <v>87.400117965836046</v>
      </c>
      <c r="CG174">
        <f t="shared" si="298"/>
        <v>64</v>
      </c>
      <c r="CI174" s="59">
        <f t="shared" ref="CI174:CI210" si="332">IF(ABS(F174-Ioutmax_Vinmin)&lt;Iout/200, AM174, -50)</f>
        <v>-50</v>
      </c>
      <c r="CJ174">
        <f t="shared" ref="CJ174:CJ210" si="333">IF(ABS(F174-Ioutmax_Vinmin)&lt;Iout/200, (O174+P174)*CE174, -50)</f>
        <v>-50</v>
      </c>
    </row>
    <row r="175" spans="5:88" x14ac:dyDescent="0.25">
      <c r="E175" s="150">
        <v>65</v>
      </c>
      <c r="F175" s="191">
        <f t="shared" ref="F175:F206" si="334">IF(PLOT_TYPE=1, E175/100*Iout_max, min_I*EXP(O175*rr/100))</f>
        <v>6.5000000000000002E-2</v>
      </c>
      <c r="G175" s="191">
        <f t="shared" si="299"/>
        <v>6.5000000000000002E-2</v>
      </c>
      <c r="H175" s="191">
        <f t="shared" si="300"/>
        <v>1.3</v>
      </c>
      <c r="I175" s="191">
        <f t="shared" si="301"/>
        <v>1.04</v>
      </c>
      <c r="J175" s="472">
        <f t="shared" si="302"/>
        <v>9</v>
      </c>
      <c r="K175" s="386">
        <f t="shared" si="303"/>
        <v>18.31244411795571</v>
      </c>
      <c r="L175" s="386">
        <f t="shared" si="304"/>
        <v>29.32</v>
      </c>
      <c r="M175" s="386"/>
      <c r="N175" s="191">
        <f t="shared" si="305"/>
        <v>0.69304229195088674</v>
      </c>
      <c r="O175" s="152">
        <f t="shared" si="306"/>
        <v>1.1695088676671213</v>
      </c>
      <c r="P175" s="152">
        <f t="shared" si="307"/>
        <v>1.6840927694406547</v>
      </c>
      <c r="Q175" s="191">
        <f t="shared" si="308"/>
        <v>5.8475443383356064E-2</v>
      </c>
      <c r="R175" s="191">
        <f t="shared" si="309"/>
        <v>7.3094304229195078E-2</v>
      </c>
      <c r="S175" s="191">
        <f t="shared" si="310"/>
        <v>17.99244411795571</v>
      </c>
      <c r="T175" s="191">
        <f t="shared" si="311"/>
        <v>0.75</v>
      </c>
      <c r="U175" s="191">
        <f t="shared" si="312"/>
        <v>12.499999999999998</v>
      </c>
      <c r="V175" s="191">
        <f t="shared" si="313"/>
        <v>6.1433634568578173</v>
      </c>
      <c r="W175" s="175">
        <f t="shared" si="314"/>
        <v>268.19194999713369</v>
      </c>
      <c r="X175" s="386">
        <f t="shared" si="315"/>
        <v>53.638389999426728</v>
      </c>
      <c r="Z175" s="191">
        <f t="shared" si="316"/>
        <v>0.15</v>
      </c>
      <c r="AA175" s="153">
        <f t="shared" si="317"/>
        <v>1.2286726913715633</v>
      </c>
      <c r="AB175" s="153">
        <f t="shared" si="318"/>
        <v>1.3730005208631916E-2</v>
      </c>
      <c r="AC175" s="153"/>
      <c r="AD175" s="153">
        <f t="shared" si="319"/>
        <v>1.2286726913715633</v>
      </c>
      <c r="AE175" s="317">
        <f t="shared" si="320"/>
        <v>705.36821787681265</v>
      </c>
      <c r="AF175" s="463">
        <f t="shared" si="321"/>
        <v>2.471400937553745E-2</v>
      </c>
      <c r="AH175" s="153">
        <f t="shared" si="322"/>
        <v>0.29856801091687157</v>
      </c>
      <c r="AI175" s="153">
        <f t="shared" si="323"/>
        <v>0.75</v>
      </c>
      <c r="AJ175" s="153">
        <f t="shared" si="324"/>
        <v>1.6444444444444444</v>
      </c>
      <c r="AL175" s="317">
        <f t="shared" si="325"/>
        <v>65</v>
      </c>
      <c r="AM175" s="147">
        <f t="shared" si="326"/>
        <v>53.638389999426728</v>
      </c>
      <c r="AO175" t="str">
        <f t="shared" si="327"/>
        <v/>
      </c>
      <c r="AP175" t="str">
        <f t="shared" si="328"/>
        <v/>
      </c>
      <c r="AR175" s="5">
        <f t="shared" si="249"/>
        <v>18.643363456857816</v>
      </c>
      <c r="AS175" s="5">
        <f t="shared" si="246"/>
        <v>12.499999999999998</v>
      </c>
      <c r="AT175" s="5">
        <f t="shared" si="247"/>
        <v>6.1433634568578182</v>
      </c>
      <c r="AU175" s="153">
        <f t="shared" si="248"/>
        <v>0.67047987499283401</v>
      </c>
      <c r="AW175" s="5">
        <f t="shared" si="275"/>
        <v>4.0624999999999991</v>
      </c>
      <c r="AX175" s="5"/>
      <c r="AY175" s="5">
        <f t="shared" si="276"/>
        <v>5.0781249999999991</v>
      </c>
      <c r="AZ175" s="5"/>
      <c r="BA175" s="5">
        <f t="shared" si="277"/>
        <v>0.98597191282903252</v>
      </c>
      <c r="BB175" s="5"/>
      <c r="BC175" s="5"/>
      <c r="BD175" s="153">
        <f t="shared" si="278"/>
        <v>0.35456307839530665</v>
      </c>
      <c r="BE175" s="153">
        <f t="shared" si="279"/>
        <v>0.24856593378587424</v>
      </c>
      <c r="BF175" s="153">
        <f t="shared" si="280"/>
        <v>0.24759116541808651</v>
      </c>
      <c r="BG175" s="153"/>
      <c r="BH175" s="463">
        <f t="shared" si="281"/>
        <v>4.4000241796404729E-2</v>
      </c>
      <c r="BI175" s="463">
        <f t="shared" si="282"/>
        <v>5.8975409804369701E-3</v>
      </c>
      <c r="BJ175" s="463">
        <f t="shared" si="283"/>
        <v>6.7047987499283402E-4</v>
      </c>
      <c r="BK175" s="463">
        <f t="shared" si="284"/>
        <v>2.3055453539521592E-3</v>
      </c>
      <c r="BL175">
        <f t="shared" si="285"/>
        <v>2.6099999999999999E-3</v>
      </c>
      <c r="BM175">
        <f t="shared" si="329"/>
        <v>5.3638389999426728E-7</v>
      </c>
      <c r="BN175">
        <f t="shared" si="330"/>
        <v>6.1927104025336084E-2</v>
      </c>
      <c r="BO175" s="147">
        <f t="shared" si="286"/>
        <v>55.483808005786692</v>
      </c>
      <c r="BP175" s="153">
        <f t="shared" si="287"/>
        <v>2.6000000000000002E-2</v>
      </c>
      <c r="BQ175" s="153">
        <f t="shared" si="288"/>
        <v>2.6000000000000002E-2</v>
      </c>
      <c r="BR175" s="463"/>
      <c r="BT175" s="147">
        <f t="shared" si="289"/>
        <v>52.000000000000007</v>
      </c>
      <c r="BU175" s="463">
        <f t="shared" si="290"/>
        <v>0.10057198124892511</v>
      </c>
      <c r="BV175" s="463">
        <f t="shared" si="291"/>
        <v>4.9180878657319523E-2</v>
      </c>
      <c r="BW175" s="463">
        <f t="shared" si="292"/>
        <v>3.0650692596543138E-3</v>
      </c>
      <c r="BX175" s="463">
        <f t="shared" si="293"/>
        <v>0</v>
      </c>
      <c r="BY175" s="463">
        <f t="shared" si="274"/>
        <v>0.17327443590358077</v>
      </c>
      <c r="BZ175" s="463">
        <f t="shared" si="250"/>
        <v>0.15281792916589892</v>
      </c>
      <c r="CA175" s="549">
        <f t="shared" si="331"/>
        <v>4.5257391562016303E-2</v>
      </c>
      <c r="CB175" s="147">
        <f t="shared" si="294"/>
        <v>524.16768579739494</v>
      </c>
      <c r="CC175" s="153">
        <f t="shared" si="251"/>
        <v>0.33245893149093314</v>
      </c>
      <c r="CD175" s="5">
        <f t="shared" si="295"/>
        <v>2.34</v>
      </c>
      <c r="CE175" s="153">
        <f t="shared" si="296"/>
        <v>0.8755981139416581</v>
      </c>
      <c r="CF175" s="5">
        <f t="shared" si="297"/>
        <v>87.559811394165806</v>
      </c>
      <c r="CG175">
        <f t="shared" si="298"/>
        <v>65</v>
      </c>
      <c r="CI175" s="59">
        <f t="shared" si="332"/>
        <v>-50</v>
      </c>
      <c r="CJ175">
        <f t="shared" si="333"/>
        <v>-50</v>
      </c>
    </row>
    <row r="176" spans="5:88" x14ac:dyDescent="0.25">
      <c r="E176" s="150">
        <v>66</v>
      </c>
      <c r="F176" s="191">
        <f t="shared" si="334"/>
        <v>6.6000000000000003E-2</v>
      </c>
      <c r="G176" s="191">
        <f t="shared" si="299"/>
        <v>6.6000000000000003E-2</v>
      </c>
      <c r="H176" s="191">
        <f t="shared" si="300"/>
        <v>1.32</v>
      </c>
      <c r="I176" s="191">
        <f t="shared" si="301"/>
        <v>1.056</v>
      </c>
      <c r="J176" s="472">
        <f t="shared" si="302"/>
        <v>9</v>
      </c>
      <c r="K176" s="386">
        <f t="shared" si="303"/>
        <v>18.039831328289715</v>
      </c>
      <c r="L176" s="386">
        <f t="shared" si="304"/>
        <v>29.32</v>
      </c>
      <c r="M176" s="386"/>
      <c r="N176" s="191">
        <f t="shared" si="305"/>
        <v>0.69304229195088674</v>
      </c>
      <c r="O176" s="152">
        <f t="shared" si="306"/>
        <v>1.1695088676671213</v>
      </c>
      <c r="P176" s="152">
        <f t="shared" si="307"/>
        <v>1.6840927694406547</v>
      </c>
      <c r="Q176" s="191">
        <f t="shared" si="308"/>
        <v>5.8475443383356064E-2</v>
      </c>
      <c r="R176" s="191">
        <f t="shared" si="309"/>
        <v>7.3094304229195078E-2</v>
      </c>
      <c r="S176" s="191">
        <f t="shared" si="310"/>
        <v>17.719831328289715</v>
      </c>
      <c r="T176" s="191">
        <f t="shared" si="311"/>
        <v>0.75</v>
      </c>
      <c r="U176" s="191">
        <f t="shared" si="312"/>
        <v>12.499999999999998</v>
      </c>
      <c r="V176" s="191">
        <f t="shared" si="313"/>
        <v>6.2362002145540947</v>
      </c>
      <c r="W176" s="175">
        <f t="shared" si="314"/>
        <v>266.86307483606254</v>
      </c>
      <c r="X176" s="386">
        <f t="shared" si="315"/>
        <v>53.372614967212513</v>
      </c>
      <c r="Z176" s="191">
        <f t="shared" si="316"/>
        <v>0.15000000000000002</v>
      </c>
      <c r="AA176" s="153">
        <f t="shared" si="317"/>
        <v>1.247240042910819</v>
      </c>
      <c r="AB176" s="153">
        <f t="shared" si="318"/>
        <v>1.3868429704576824E-2</v>
      </c>
      <c r="AC176" s="153"/>
      <c r="AD176" s="153">
        <f t="shared" si="319"/>
        <v>1.2472400429108188</v>
      </c>
      <c r="AE176" s="317">
        <f t="shared" si="320"/>
        <v>705.55784750644227</v>
      </c>
      <c r="AF176" s="463">
        <f t="shared" si="321"/>
        <v>2.496317346823828E-2</v>
      </c>
      <c r="AH176" s="153">
        <f t="shared" si="322"/>
        <v>0.30085592185344423</v>
      </c>
      <c r="AI176" s="153">
        <f t="shared" si="323"/>
        <v>0.75</v>
      </c>
      <c r="AJ176" s="153">
        <f t="shared" si="324"/>
        <v>1.6444444444444444</v>
      </c>
      <c r="AL176" s="317">
        <f t="shared" si="325"/>
        <v>66</v>
      </c>
      <c r="AM176" s="147">
        <f t="shared" si="326"/>
        <v>53.372614967212513</v>
      </c>
      <c r="AO176" t="str">
        <f t="shared" si="327"/>
        <v/>
      </c>
      <c r="AP176" t="str">
        <f t="shared" si="328"/>
        <v/>
      </c>
      <c r="AR176" s="5">
        <f t="shared" si="249"/>
        <v>18.736200214554092</v>
      </c>
      <c r="AS176" s="5">
        <f t="shared" si="246"/>
        <v>12.499999999999998</v>
      </c>
      <c r="AT176" s="5">
        <f t="shared" si="247"/>
        <v>6.2362002145540938</v>
      </c>
      <c r="AU176" s="153">
        <f t="shared" si="248"/>
        <v>0.66715768709015633</v>
      </c>
      <c r="AW176" s="5">
        <f t="shared" si="275"/>
        <v>4.125</v>
      </c>
      <c r="AX176" s="5"/>
      <c r="AY176" s="5">
        <f t="shared" si="276"/>
        <v>5.1562499999999991</v>
      </c>
      <c r="AZ176" s="5"/>
      <c r="BA176" s="5">
        <f t="shared" si="277"/>
        <v>1.0162696645940006</v>
      </c>
      <c r="BB176" s="5"/>
      <c r="BC176" s="5"/>
      <c r="BD176" s="153">
        <f t="shared" si="278"/>
        <v>0.35368356807944062</v>
      </c>
      <c r="BE176" s="153">
        <f t="shared" si="279"/>
        <v>0.24981579948152938</v>
      </c>
      <c r="BF176" s="153">
        <f t="shared" si="280"/>
        <v>0.24883612967964105</v>
      </c>
      <c r="BG176" s="153"/>
      <c r="BH176" s="463">
        <f t="shared" si="281"/>
        <v>4.3782223215291509E-2</v>
      </c>
      <c r="BI176" s="463">
        <f t="shared" si="282"/>
        <v>5.8683190156450168E-3</v>
      </c>
      <c r="BJ176" s="463">
        <f t="shared" si="283"/>
        <v>6.671576870901564E-4</v>
      </c>
      <c r="BK176" s="463">
        <f t="shared" si="284"/>
        <v>2.2941215138494921E-3</v>
      </c>
      <c r="BL176">
        <f t="shared" si="285"/>
        <v>2.6099999999999999E-3</v>
      </c>
      <c r="BM176">
        <f t="shared" si="329"/>
        <v>5.3372614967212515E-7</v>
      </c>
      <c r="BN176">
        <f t="shared" si="330"/>
        <v>6.1630797794422001E-2</v>
      </c>
      <c r="BO176" s="147">
        <f t="shared" si="286"/>
        <v>55.22182143187618</v>
      </c>
      <c r="BP176" s="153">
        <f t="shared" si="287"/>
        <v>2.6400000000000003E-2</v>
      </c>
      <c r="BQ176" s="153">
        <f t="shared" si="288"/>
        <v>2.6400000000000003E-2</v>
      </c>
      <c r="BR176" s="463"/>
      <c r="BT176" s="147">
        <f t="shared" si="289"/>
        <v>52.800000000000004</v>
      </c>
      <c r="BU176" s="463">
        <f t="shared" si="290"/>
        <v>0.10007365306352345</v>
      </c>
      <c r="BV176" s="463">
        <f t="shared" si="291"/>
        <v>4.9676715201794175E-2</v>
      </c>
      <c r="BW176" s="463">
        <f t="shared" si="292"/>
        <v>3.0959709716971572E-3</v>
      </c>
      <c r="BX176" s="463">
        <f t="shared" si="293"/>
        <v>0</v>
      </c>
      <c r="BY176" s="463">
        <f t="shared" si="274"/>
        <v>0.17330704777071482</v>
      </c>
      <c r="BZ176" s="463">
        <f t="shared" si="250"/>
        <v>0.15284633923701479</v>
      </c>
      <c r="CA176" s="549">
        <f t="shared" si="331"/>
        <v>4.5033143878585556E-2</v>
      </c>
      <c r="CB176" s="147">
        <f t="shared" si="294"/>
        <v>524.03287012332999</v>
      </c>
      <c r="CC176" s="153">
        <f t="shared" si="251"/>
        <v>0.33277098944372235</v>
      </c>
      <c r="CD176" s="5">
        <f t="shared" si="295"/>
        <v>2.3760000000000003</v>
      </c>
      <c r="CE176" s="153">
        <f t="shared" si="296"/>
        <v>0.87715056358010501</v>
      </c>
      <c r="CF176" s="5">
        <f t="shared" si="297"/>
        <v>87.7150563580105</v>
      </c>
      <c r="CG176">
        <f t="shared" si="298"/>
        <v>66</v>
      </c>
      <c r="CI176" s="59">
        <f t="shared" si="332"/>
        <v>-50</v>
      </c>
      <c r="CJ176">
        <f t="shared" si="333"/>
        <v>-50</v>
      </c>
    </row>
    <row r="177" spans="5:88" x14ac:dyDescent="0.25">
      <c r="E177" s="150">
        <v>67</v>
      </c>
      <c r="F177" s="191">
        <f t="shared" si="334"/>
        <v>6.7000000000000004E-2</v>
      </c>
      <c r="G177" s="191">
        <f t="shared" si="299"/>
        <v>6.7000000000000004E-2</v>
      </c>
      <c r="H177" s="191">
        <f t="shared" si="300"/>
        <v>1.34</v>
      </c>
      <c r="I177" s="191">
        <f t="shared" si="301"/>
        <v>1.0720000000000001</v>
      </c>
      <c r="J177" s="472">
        <f t="shared" si="302"/>
        <v>9</v>
      </c>
      <c r="K177" s="386">
        <f t="shared" si="303"/>
        <v>17.775356233837631</v>
      </c>
      <c r="L177" s="386">
        <f t="shared" si="304"/>
        <v>29.32</v>
      </c>
      <c r="M177" s="386"/>
      <c r="N177" s="191">
        <f t="shared" si="305"/>
        <v>0.69304229195088674</v>
      </c>
      <c r="O177" s="152">
        <f t="shared" si="306"/>
        <v>1.1695088676671213</v>
      </c>
      <c r="P177" s="152">
        <f t="shared" si="307"/>
        <v>1.6840927694406547</v>
      </c>
      <c r="Q177" s="191">
        <f t="shared" si="308"/>
        <v>5.8475443383356064E-2</v>
      </c>
      <c r="R177" s="191">
        <f t="shared" si="309"/>
        <v>7.3094304229195078E-2</v>
      </c>
      <c r="S177" s="191">
        <f t="shared" si="310"/>
        <v>17.45535623383763</v>
      </c>
      <c r="T177" s="191">
        <f t="shared" si="311"/>
        <v>0.75</v>
      </c>
      <c r="U177" s="191">
        <f t="shared" si="312"/>
        <v>12.499999999999998</v>
      </c>
      <c r="V177" s="191">
        <f t="shared" si="313"/>
        <v>6.3289870830178963</v>
      </c>
      <c r="W177" s="175">
        <f t="shared" si="314"/>
        <v>265.54800733330814</v>
      </c>
      <c r="X177" s="386">
        <f t="shared" si="315"/>
        <v>53.10960146666163</v>
      </c>
      <c r="Z177" s="191">
        <f t="shared" si="316"/>
        <v>0.15000000000000002</v>
      </c>
      <c r="AA177" s="153">
        <f t="shared" si="317"/>
        <v>1.2657974166035793</v>
      </c>
      <c r="AB177" s="153">
        <f t="shared" si="318"/>
        <v>1.400541590278041E-2</v>
      </c>
      <c r="AC177" s="153"/>
      <c r="AD177" s="153">
        <f t="shared" si="319"/>
        <v>1.265797416603579</v>
      </c>
      <c r="AE177" s="317">
        <f t="shared" si="320"/>
        <v>705.74747713607201</v>
      </c>
      <c r="AF177" s="463">
        <f t="shared" si="321"/>
        <v>2.5209748625004729E-2</v>
      </c>
      <c r="AH177" s="153">
        <f t="shared" si="322"/>
        <v>0.30312656479713929</v>
      </c>
      <c r="AI177" s="153">
        <f t="shared" si="323"/>
        <v>0.75</v>
      </c>
      <c r="AJ177" s="153">
        <f t="shared" si="324"/>
        <v>1.6444444444444444</v>
      </c>
      <c r="AL177" s="317">
        <f t="shared" si="325"/>
        <v>67</v>
      </c>
      <c r="AM177" s="147">
        <f t="shared" si="326"/>
        <v>53.10960146666163</v>
      </c>
      <c r="AO177" t="str">
        <f t="shared" si="327"/>
        <v/>
      </c>
      <c r="AP177" t="str">
        <f t="shared" si="328"/>
        <v/>
      </c>
      <c r="AR177" s="5">
        <f t="shared" si="249"/>
        <v>18.828987083017893</v>
      </c>
      <c r="AS177" s="5">
        <f t="shared" si="246"/>
        <v>12.499999999999998</v>
      </c>
      <c r="AT177" s="5">
        <f t="shared" si="247"/>
        <v>6.3289870830178945</v>
      </c>
      <c r="AU177" s="153">
        <f t="shared" si="248"/>
        <v>0.66387001833327031</v>
      </c>
      <c r="AW177" s="5">
        <f t="shared" si="275"/>
        <v>4.1874999999999991</v>
      </c>
      <c r="AX177" s="5"/>
      <c r="AY177" s="5">
        <f t="shared" si="276"/>
        <v>5.2343749999999991</v>
      </c>
      <c r="AZ177" s="5"/>
      <c r="BA177" s="5">
        <f t="shared" si="277"/>
        <v>1.0470176162029603</v>
      </c>
      <c r="BB177" s="5"/>
      <c r="BC177" s="5"/>
      <c r="BD177" s="153">
        <f t="shared" si="278"/>
        <v>0.3528110378623211</v>
      </c>
      <c r="BE177" s="153">
        <f t="shared" si="279"/>
        <v>0.25104655258041647</v>
      </c>
      <c r="BF177" s="153">
        <f t="shared" si="280"/>
        <v>0.25006205629578743</v>
      </c>
      <c r="BG177" s="153"/>
      <c r="BH177" s="463">
        <f t="shared" si="281"/>
        <v>4.3566469953120857E-2</v>
      </c>
      <c r="BI177" s="463">
        <f t="shared" si="282"/>
        <v>5.8394006812594471E-3</v>
      </c>
      <c r="BJ177" s="463">
        <f t="shared" si="283"/>
        <v>6.6387001833327045E-4</v>
      </c>
      <c r="BK177" s="463">
        <f t="shared" si="284"/>
        <v>2.2828163729936932E-3</v>
      </c>
      <c r="BL177">
        <f t="shared" si="285"/>
        <v>2.6099999999999999E-3</v>
      </c>
      <c r="BM177">
        <f t="shared" si="329"/>
        <v>5.3109601466661634E-7</v>
      </c>
      <c r="BN177">
        <f t="shared" si="330"/>
        <v>6.1337593986571889E-2</v>
      </c>
      <c r="BO177" s="147">
        <f t="shared" si="286"/>
        <v>54.962557025707262</v>
      </c>
      <c r="BP177" s="153">
        <f t="shared" si="287"/>
        <v>2.6800000000000004E-2</v>
      </c>
      <c r="BQ177" s="153">
        <f t="shared" si="288"/>
        <v>2.6800000000000004E-2</v>
      </c>
      <c r="BR177" s="463"/>
      <c r="BT177" s="147">
        <f t="shared" si="289"/>
        <v>53.600000000000009</v>
      </c>
      <c r="BU177" s="463">
        <f t="shared" si="290"/>
        <v>9.9580502749990543E-2</v>
      </c>
      <c r="BV177" s="463">
        <f t="shared" si="291"/>
        <v>5.0167399763759404E-2</v>
      </c>
      <c r="BW177" s="463">
        <f t="shared" si="292"/>
        <v>3.1265515999438784E-3</v>
      </c>
      <c r="BX177" s="463">
        <f t="shared" si="293"/>
        <v>0</v>
      </c>
      <c r="BY177" s="463">
        <f t="shared" si="274"/>
        <v>0.1733393209324561</v>
      </c>
      <c r="BZ177" s="463">
        <f t="shared" si="250"/>
        <v>0.15287445411369383</v>
      </c>
      <c r="CA177" s="549">
        <f t="shared" si="331"/>
        <v>4.4811226237495748E-2</v>
      </c>
      <c r="CB177" s="147">
        <f t="shared" si="294"/>
        <v>523.89945539733947</v>
      </c>
      <c r="CC177" s="153">
        <f t="shared" si="251"/>
        <v>0.33308814115652374</v>
      </c>
      <c r="CD177" s="5">
        <f t="shared" si="295"/>
        <v>2.4119999999999999</v>
      </c>
      <c r="CE177" s="153">
        <f t="shared" si="296"/>
        <v>0.87866031106156339</v>
      </c>
      <c r="CF177" s="5">
        <f t="shared" si="297"/>
        <v>87.866031106156342</v>
      </c>
      <c r="CG177">
        <f t="shared" si="298"/>
        <v>67</v>
      </c>
      <c r="CI177" s="59">
        <f t="shared" si="332"/>
        <v>-50</v>
      </c>
      <c r="CJ177">
        <f t="shared" si="333"/>
        <v>-50</v>
      </c>
    </row>
    <row r="178" spans="5:88" x14ac:dyDescent="0.25">
      <c r="E178" s="150">
        <v>68</v>
      </c>
      <c r="F178" s="191">
        <f t="shared" si="334"/>
        <v>6.8000000000000005E-2</v>
      </c>
      <c r="G178" s="191">
        <f t="shared" si="299"/>
        <v>6.8000000000000005E-2</v>
      </c>
      <c r="H178" s="191">
        <f t="shared" si="300"/>
        <v>1.36</v>
      </c>
      <c r="I178" s="191">
        <f t="shared" si="301"/>
        <v>1.0880000000000001</v>
      </c>
      <c r="J178" s="472">
        <f t="shared" si="302"/>
        <v>9</v>
      </c>
      <c r="K178" s="386">
        <f t="shared" si="303"/>
        <v>17.518659818634134</v>
      </c>
      <c r="L178" s="386">
        <f t="shared" si="304"/>
        <v>29.32</v>
      </c>
      <c r="M178" s="386"/>
      <c r="N178" s="191">
        <f t="shared" si="305"/>
        <v>0.69304229195088674</v>
      </c>
      <c r="O178" s="152">
        <f t="shared" si="306"/>
        <v>1.1695088676671213</v>
      </c>
      <c r="P178" s="152">
        <f t="shared" si="307"/>
        <v>1.6840927694406547</v>
      </c>
      <c r="Q178" s="191">
        <f t="shared" si="308"/>
        <v>5.8475443383356064E-2</v>
      </c>
      <c r="R178" s="191">
        <f t="shared" si="309"/>
        <v>7.3094304229195078E-2</v>
      </c>
      <c r="S178" s="191">
        <f t="shared" si="310"/>
        <v>17.198659818634134</v>
      </c>
      <c r="T178" s="191">
        <f t="shared" si="311"/>
        <v>0.75</v>
      </c>
      <c r="U178" s="191">
        <f t="shared" si="312"/>
        <v>12.499999999999998</v>
      </c>
      <c r="V178" s="191">
        <f t="shared" si="313"/>
        <v>6.4217241024531297</v>
      </c>
      <c r="W178" s="175">
        <f t="shared" si="314"/>
        <v>264.24653339870702</v>
      </c>
      <c r="X178" s="386">
        <f t="shared" si="315"/>
        <v>52.84930667974141</v>
      </c>
      <c r="Z178" s="191">
        <f t="shared" si="316"/>
        <v>0.15000000000000002</v>
      </c>
      <c r="AA178" s="153">
        <f t="shared" si="317"/>
        <v>1.284344820490626</v>
      </c>
      <c r="AB178" s="153">
        <f t="shared" si="318"/>
        <v>1.414098610430136E-2</v>
      </c>
      <c r="AC178" s="153"/>
      <c r="AD178" s="153">
        <f t="shared" si="319"/>
        <v>1.284344820490626</v>
      </c>
      <c r="AE178" s="317">
        <f t="shared" si="320"/>
        <v>705.93710676570129</v>
      </c>
      <c r="AF178" s="463">
        <f t="shared" si="321"/>
        <v>2.5453774987742445E-2</v>
      </c>
      <c r="AH178" s="153">
        <f t="shared" si="322"/>
        <v>0.3053803249345689</v>
      </c>
      <c r="AI178" s="153">
        <f t="shared" si="323"/>
        <v>0.75</v>
      </c>
      <c r="AJ178" s="153">
        <f t="shared" si="324"/>
        <v>1.6444444444444444</v>
      </c>
      <c r="AL178" s="317">
        <f t="shared" si="325"/>
        <v>68</v>
      </c>
      <c r="AM178" s="147">
        <f t="shared" si="326"/>
        <v>52.84930667974141</v>
      </c>
      <c r="AO178" t="str">
        <f t="shared" si="327"/>
        <v/>
      </c>
      <c r="AP178" t="str">
        <f t="shared" si="328"/>
        <v/>
      </c>
      <c r="AR178" s="5">
        <f t="shared" si="249"/>
        <v>18.921724102453126</v>
      </c>
      <c r="AS178" s="5">
        <f t="shared" si="246"/>
        <v>12.499999999999998</v>
      </c>
      <c r="AT178" s="5">
        <f t="shared" si="247"/>
        <v>6.421724102453128</v>
      </c>
      <c r="AU178" s="153">
        <f t="shared" si="248"/>
        <v>0.66061633349676752</v>
      </c>
      <c r="AW178" s="5">
        <f t="shared" si="275"/>
        <v>4.25</v>
      </c>
      <c r="AX178" s="5"/>
      <c r="AY178" s="5">
        <f t="shared" si="276"/>
        <v>5.3124999999999991</v>
      </c>
      <c r="AZ178" s="5"/>
      <c r="BA178" s="5">
        <f t="shared" si="277"/>
        <v>1.0782154048563277</v>
      </c>
      <c r="BB178" s="5"/>
      <c r="BC178" s="5"/>
      <c r="BD178" s="153">
        <f t="shared" si="278"/>
        <v>0.35194539708688322</v>
      </c>
      <c r="BE178" s="153">
        <f t="shared" si="279"/>
        <v>0.25225867174263028</v>
      </c>
      <c r="BF178" s="153">
        <f t="shared" si="280"/>
        <v>0.25126942204952191</v>
      </c>
      <c r="BG178" s="153"/>
      <c r="BH178" s="463">
        <f t="shared" si="281"/>
        <v>4.3352946885725364E-2</v>
      </c>
      <c r="BI178" s="463">
        <f t="shared" si="282"/>
        <v>5.8107812694375687E-3</v>
      </c>
      <c r="BJ178" s="463">
        <f t="shared" si="283"/>
        <v>6.6061633349676757E-4</v>
      </c>
      <c r="BK178" s="463">
        <f t="shared" si="284"/>
        <v>2.2716280909321272E-3</v>
      </c>
      <c r="BL178">
        <f t="shared" si="285"/>
        <v>2.6099999999999999E-3</v>
      </c>
      <c r="BM178">
        <f t="shared" si="329"/>
        <v>5.2849306679741412E-7</v>
      </c>
      <c r="BN178">
        <f t="shared" si="330"/>
        <v>6.1047444130466116E-2</v>
      </c>
      <c r="BO178" s="147">
        <f t="shared" si="286"/>
        <v>54.70597257959183</v>
      </c>
      <c r="BP178" s="153">
        <f t="shared" si="287"/>
        <v>2.7200000000000002E-2</v>
      </c>
      <c r="BQ178" s="153">
        <f t="shared" si="288"/>
        <v>2.7200000000000002E-2</v>
      </c>
      <c r="BR178" s="463"/>
      <c r="BT178" s="147">
        <f t="shared" si="289"/>
        <v>54.400000000000006</v>
      </c>
      <c r="BU178" s="463">
        <f t="shared" si="290"/>
        <v>9.9092450024515125E-2</v>
      </c>
      <c r="BV178" s="463">
        <f t="shared" si="291"/>
        <v>5.0653012225607454E-2</v>
      </c>
      <c r="BW178" s="463">
        <f t="shared" si="292"/>
        <v>3.1568161228550384E-3</v>
      </c>
      <c r="BX178" s="463">
        <f t="shared" si="293"/>
        <v>0</v>
      </c>
      <c r="BY178" s="463">
        <f t="shared" si="274"/>
        <v>0.1733712606382132</v>
      </c>
      <c r="BZ178" s="463">
        <f t="shared" si="250"/>
        <v>0.15290227837297762</v>
      </c>
      <c r="CA178" s="549">
        <f t="shared" si="331"/>
        <v>4.4591602511031808E-2</v>
      </c>
      <c r="CB178" s="147">
        <f t="shared" si="294"/>
        <v>523.76741989520031</v>
      </c>
      <c r="CC178" s="153">
        <f t="shared" si="251"/>
        <v>0.3334103072797111</v>
      </c>
      <c r="CD178" s="5">
        <f t="shared" si="295"/>
        <v>2.4480000000000004</v>
      </c>
      <c r="CE178" s="153">
        <f t="shared" si="296"/>
        <v>0.88012904589909469</v>
      </c>
      <c r="CF178" s="5">
        <f t="shared" si="297"/>
        <v>88.012904589909468</v>
      </c>
      <c r="CG178">
        <f t="shared" si="298"/>
        <v>68</v>
      </c>
      <c r="CI178" s="59">
        <f t="shared" si="332"/>
        <v>-50</v>
      </c>
      <c r="CJ178">
        <f t="shared" si="333"/>
        <v>-50</v>
      </c>
    </row>
    <row r="179" spans="5:88" x14ac:dyDescent="0.25">
      <c r="E179" s="150">
        <v>69</v>
      </c>
      <c r="F179" s="191">
        <f t="shared" si="334"/>
        <v>6.8999999999999992E-2</v>
      </c>
      <c r="G179" s="191">
        <f t="shared" si="299"/>
        <v>6.8999999999999992E-2</v>
      </c>
      <c r="H179" s="191">
        <f t="shared" si="300"/>
        <v>1.38</v>
      </c>
      <c r="I179" s="191">
        <f t="shared" si="301"/>
        <v>1.1039999999999999</v>
      </c>
      <c r="J179" s="472">
        <f t="shared" si="302"/>
        <v>9</v>
      </c>
      <c r="K179" s="386">
        <f t="shared" si="303"/>
        <v>17.269403879233643</v>
      </c>
      <c r="L179" s="386">
        <f t="shared" si="304"/>
        <v>29.32</v>
      </c>
      <c r="M179" s="386"/>
      <c r="N179" s="191">
        <f t="shared" si="305"/>
        <v>0.69304229195088674</v>
      </c>
      <c r="O179" s="152">
        <f t="shared" si="306"/>
        <v>1.1695088676671213</v>
      </c>
      <c r="P179" s="152">
        <f t="shared" si="307"/>
        <v>1.6840927694406547</v>
      </c>
      <c r="Q179" s="191">
        <f t="shared" si="308"/>
        <v>5.8475443383356064E-2</v>
      </c>
      <c r="R179" s="191">
        <f t="shared" si="309"/>
        <v>7.3094304229195078E-2</v>
      </c>
      <c r="S179" s="191">
        <f t="shared" si="310"/>
        <v>16.949403879233643</v>
      </c>
      <c r="T179" s="191">
        <f t="shared" si="311"/>
        <v>0.75</v>
      </c>
      <c r="U179" s="191">
        <f t="shared" si="312"/>
        <v>12.499999999999998</v>
      </c>
      <c r="V179" s="191">
        <f t="shared" si="313"/>
        <v>6.5144113130205143</v>
      </c>
      <c r="W179" s="175">
        <f t="shared" si="314"/>
        <v>262.95844334534547</v>
      </c>
      <c r="X179" s="386">
        <f t="shared" si="315"/>
        <v>52.591688669069086</v>
      </c>
      <c r="Z179" s="191">
        <f t="shared" si="316"/>
        <v>0.15</v>
      </c>
      <c r="AA179" s="153">
        <f t="shared" si="317"/>
        <v>1.3028822626041028</v>
      </c>
      <c r="AB179" s="153">
        <f t="shared" si="318"/>
        <v>1.427516215152652E-2</v>
      </c>
      <c r="AC179" s="153"/>
      <c r="AD179" s="153">
        <f t="shared" si="319"/>
        <v>1.3028822626041028</v>
      </c>
      <c r="AE179" s="317">
        <f t="shared" si="320"/>
        <v>706.12673639533125</v>
      </c>
      <c r="AF179" s="463">
        <f t="shared" si="321"/>
        <v>2.5695291872747734E-2</v>
      </c>
      <c r="AH179" s="153">
        <f t="shared" si="322"/>
        <v>0.30761757334159479</v>
      </c>
      <c r="AI179" s="153">
        <f t="shared" si="323"/>
        <v>0.75</v>
      </c>
      <c r="AJ179" s="153">
        <f t="shared" si="324"/>
        <v>1.6444444444444444</v>
      </c>
      <c r="AL179" s="317">
        <f t="shared" si="325"/>
        <v>68.999999999999986</v>
      </c>
      <c r="AM179" s="147">
        <f t="shared" si="326"/>
        <v>52.591688669069086</v>
      </c>
      <c r="AO179" t="str">
        <f t="shared" si="327"/>
        <v/>
      </c>
      <c r="AP179" t="str">
        <f t="shared" si="328"/>
        <v/>
      </c>
      <c r="AR179" s="5">
        <f t="shared" si="249"/>
        <v>19.014411313020513</v>
      </c>
      <c r="AS179" s="5">
        <f t="shared" ref="AS179:AS242" si="335">L*AI179/J179*1000000</f>
        <v>12.499999999999998</v>
      </c>
      <c r="AT179" s="5">
        <f t="shared" ref="AT179:AT242" si="336">AR179-AS179</f>
        <v>6.5144113130205152</v>
      </c>
      <c r="AU179" s="153">
        <f t="shared" ref="AU179:AU242" si="337">AS179/AR179</f>
        <v>0.65739610836336348</v>
      </c>
      <c r="AW179" s="5">
        <f t="shared" si="275"/>
        <v>4.3124999999999991</v>
      </c>
      <c r="AX179" s="5"/>
      <c r="AY179" s="5">
        <f t="shared" si="276"/>
        <v>5.3906249999999991</v>
      </c>
      <c r="AZ179" s="5"/>
      <c r="BA179" s="5">
        <f t="shared" si="277"/>
        <v>1.1098626681442358</v>
      </c>
      <c r="BB179" s="5"/>
      <c r="BC179" s="5"/>
      <c r="BD179" s="153">
        <f t="shared" si="278"/>
        <v>0.35108655673228312</v>
      </c>
      <c r="BE179" s="153">
        <f t="shared" si="279"/>
        <v>0.25345261821861176</v>
      </c>
      <c r="BF179" s="153">
        <f t="shared" si="280"/>
        <v>0.25245868638246033</v>
      </c>
      <c r="BG179" s="153"/>
      <c r="BH179" s="463">
        <f t="shared" si="281"/>
        <v>4.3141619611345723E-2</v>
      </c>
      <c r="BI179" s="463">
        <f t="shared" si="282"/>
        <v>5.7824561691641463E-3</v>
      </c>
      <c r="BJ179" s="463">
        <f t="shared" si="283"/>
        <v>6.5739610836336362E-4</v>
      </c>
      <c r="BK179" s="463">
        <f t="shared" si="284"/>
        <v>2.2605548650652374E-3</v>
      </c>
      <c r="BL179">
        <f t="shared" si="285"/>
        <v>2.6099999999999999E-3</v>
      </c>
      <c r="BM179">
        <f t="shared" si="329"/>
        <v>5.2591688669069086E-7</v>
      </c>
      <c r="BN179">
        <f t="shared" si="330"/>
        <v>6.0760300759288628E-2</v>
      </c>
      <c r="BO179" s="147">
        <f t="shared" si="286"/>
        <v>54.452026753938476</v>
      </c>
      <c r="BP179" s="153">
        <f t="shared" si="287"/>
        <v>2.76E-2</v>
      </c>
      <c r="BQ179" s="153">
        <f t="shared" si="288"/>
        <v>2.76E-2</v>
      </c>
      <c r="BR179" s="463"/>
      <c r="BT179" s="147">
        <f t="shared" si="289"/>
        <v>55.199999999999996</v>
      </c>
      <c r="BU179" s="463">
        <f t="shared" si="290"/>
        <v>9.8609416254504534E-2</v>
      </c>
      <c r="BV179" s="463">
        <f t="shared" si="291"/>
        <v>5.1133630826768021E-2</v>
      </c>
      <c r="BW179" s="463">
        <f t="shared" si="292"/>
        <v>3.186769416497873E-3</v>
      </c>
      <c r="BX179" s="463">
        <f t="shared" si="293"/>
        <v>0</v>
      </c>
      <c r="BY179" s="463">
        <f t="shared" si="274"/>
        <v>0.17340287202947524</v>
      </c>
      <c r="BZ179" s="463">
        <f t="shared" si="250"/>
        <v>0.15292981649777043</v>
      </c>
      <c r="CA179" s="549">
        <f t="shared" si="331"/>
        <v>4.437423731452704E-2</v>
      </c>
      <c r="CB179" s="147">
        <f t="shared" si="294"/>
        <v>523.63674233954316</v>
      </c>
      <c r="CC179" s="153">
        <f t="shared" si="251"/>
        <v>0.33373741010329094</v>
      </c>
      <c r="CD179" s="5">
        <f t="shared" si="295"/>
        <v>2.484</v>
      </c>
      <c r="CE179" s="153">
        <f t="shared" si="296"/>
        <v>0.88155837058959408</v>
      </c>
      <c r="CF179" s="5">
        <f t="shared" si="297"/>
        <v>88.155837058959406</v>
      </c>
      <c r="CG179">
        <f t="shared" si="298"/>
        <v>68.999999999999986</v>
      </c>
      <c r="CI179" s="59">
        <f t="shared" si="332"/>
        <v>-50</v>
      </c>
      <c r="CJ179">
        <f t="shared" si="333"/>
        <v>-50</v>
      </c>
    </row>
    <row r="180" spans="5:88" x14ac:dyDescent="0.25">
      <c r="E180" s="150">
        <v>70</v>
      </c>
      <c r="F180" s="191">
        <f t="shared" si="334"/>
        <v>6.9999999999999993E-2</v>
      </c>
      <c r="G180" s="191">
        <f t="shared" si="299"/>
        <v>6.9999999999999993E-2</v>
      </c>
      <c r="H180" s="191">
        <f t="shared" si="300"/>
        <v>1.4</v>
      </c>
      <c r="I180" s="191">
        <f t="shared" si="301"/>
        <v>1.1199999999999999</v>
      </c>
      <c r="J180" s="472">
        <f t="shared" si="302"/>
        <v>9</v>
      </c>
      <c r="K180" s="386">
        <f t="shared" si="303"/>
        <v>17.027269538101734</v>
      </c>
      <c r="L180" s="386">
        <f t="shared" si="304"/>
        <v>29.32</v>
      </c>
      <c r="M180" s="386"/>
      <c r="N180" s="191">
        <f t="shared" si="305"/>
        <v>0.69304229195088674</v>
      </c>
      <c r="O180" s="152">
        <f t="shared" si="306"/>
        <v>1.1695088676671213</v>
      </c>
      <c r="P180" s="152">
        <f t="shared" si="307"/>
        <v>1.6840927694406547</v>
      </c>
      <c r="Q180" s="191">
        <f t="shared" si="308"/>
        <v>5.8475443383356064E-2</v>
      </c>
      <c r="R180" s="191">
        <f t="shared" si="309"/>
        <v>7.3094304229195078E-2</v>
      </c>
      <c r="S180" s="191">
        <f t="shared" si="310"/>
        <v>16.707269538101734</v>
      </c>
      <c r="T180" s="191">
        <f t="shared" si="311"/>
        <v>0.75</v>
      </c>
      <c r="U180" s="191">
        <f t="shared" si="312"/>
        <v>12.499999999999998</v>
      </c>
      <c r="V180" s="191">
        <f t="shared" si="313"/>
        <v>6.6070487548376438</v>
      </c>
      <c r="W180" s="175">
        <f t="shared" si="314"/>
        <v>261.6835317769349</v>
      </c>
      <c r="X180" s="386">
        <f t="shared" si="315"/>
        <v>52.336706355386973</v>
      </c>
      <c r="Z180" s="191">
        <f t="shared" si="316"/>
        <v>0.15000000000000002</v>
      </c>
      <c r="AA180" s="153">
        <f t="shared" si="317"/>
        <v>1.3214097509675289</v>
      </c>
      <c r="AB180" s="153">
        <f t="shared" si="318"/>
        <v>1.4407965439902628E-2</v>
      </c>
      <c r="AC180" s="153"/>
      <c r="AD180" s="153">
        <f t="shared" si="319"/>
        <v>1.3214097509675287</v>
      </c>
      <c r="AE180" s="317">
        <f t="shared" si="320"/>
        <v>706.31636602496076</v>
      </c>
      <c r="AF180" s="463">
        <f t="shared" si="321"/>
        <v>2.5934337791824715E-2</v>
      </c>
      <c r="AH180" s="153">
        <f t="shared" si="322"/>
        <v>0.30983866769659335</v>
      </c>
      <c r="AI180" s="153">
        <f t="shared" si="323"/>
        <v>0.75</v>
      </c>
      <c r="AJ180" s="153">
        <f t="shared" si="324"/>
        <v>1.6444444444444444</v>
      </c>
      <c r="AL180" s="317">
        <f t="shared" si="325"/>
        <v>69.999999999999986</v>
      </c>
      <c r="AM180" s="147">
        <f t="shared" si="326"/>
        <v>52.336706355386973</v>
      </c>
      <c r="AO180" t="str">
        <f t="shared" si="327"/>
        <v/>
      </c>
      <c r="AP180" t="str">
        <f t="shared" si="328"/>
        <v/>
      </c>
      <c r="AR180" s="5">
        <f t="shared" si="249"/>
        <v>19.107048754837642</v>
      </c>
      <c r="AS180" s="5">
        <f t="shared" si="335"/>
        <v>12.499999999999998</v>
      </c>
      <c r="AT180" s="5">
        <f t="shared" si="336"/>
        <v>6.6070487548376438</v>
      </c>
      <c r="AU180" s="153">
        <f t="shared" si="337"/>
        <v>0.65420882944233705</v>
      </c>
      <c r="AW180" s="5">
        <f t="shared" si="275"/>
        <v>4.3749999999999991</v>
      </c>
      <c r="AX180" s="5"/>
      <c r="AY180" s="5">
        <f t="shared" si="276"/>
        <v>5.4687499999999991</v>
      </c>
      <c r="AZ180" s="5"/>
      <c r="BA180" s="5">
        <f t="shared" si="277"/>
        <v>1.1419590440460123</v>
      </c>
      <c r="BB180" s="5"/>
      <c r="BC180" s="5"/>
      <c r="BD180" s="153">
        <f t="shared" si="278"/>
        <v>0.35023442937615112</v>
      </c>
      <c r="BE180" s="153">
        <f t="shared" si="279"/>
        <v>0.25462883670071973</v>
      </c>
      <c r="BF180" s="153">
        <f t="shared" si="280"/>
        <v>0.25363029224306988</v>
      </c>
      <c r="BG180" s="153"/>
      <c r="BH180" s="463">
        <f t="shared" si="281"/>
        <v>4.2932454432153364E-2</v>
      </c>
      <c r="BI180" s="463">
        <f t="shared" si="282"/>
        <v>5.754420863774797E-3</v>
      </c>
      <c r="BJ180" s="463">
        <f t="shared" si="283"/>
        <v>6.5420882944233706E-4</v>
      </c>
      <c r="BK180" s="463">
        <f t="shared" si="284"/>
        <v>2.2495949296783614E-3</v>
      </c>
      <c r="BL180">
        <f t="shared" si="285"/>
        <v>2.6099999999999999E-3</v>
      </c>
      <c r="BM180">
        <f t="shared" si="329"/>
        <v>5.2336706355386976E-7</v>
      </c>
      <c r="BN180">
        <f t="shared" si="330"/>
        <v>6.0476117384839961E-2</v>
      </c>
      <c r="BO180" s="147">
        <f t="shared" si="286"/>
        <v>54.200679055048866</v>
      </c>
      <c r="BP180" s="153">
        <f t="shared" si="287"/>
        <v>2.7999999999999997E-2</v>
      </c>
      <c r="BQ180" s="153">
        <f t="shared" si="288"/>
        <v>2.7999999999999997E-2</v>
      </c>
      <c r="BR180" s="463"/>
      <c r="BT180" s="147">
        <f t="shared" si="289"/>
        <v>55.999999999999993</v>
      </c>
      <c r="BU180" s="463">
        <f t="shared" si="290"/>
        <v>9.8131324416350557E-2</v>
      </c>
      <c r="BV180" s="463">
        <f t="shared" si="291"/>
        <v>5.160933220573119E-2</v>
      </c>
      <c r="BW180" s="463">
        <f t="shared" si="292"/>
        <v>3.2164162571652515E-3</v>
      </c>
      <c r="BX180" s="463">
        <f t="shared" si="293"/>
        <v>0</v>
      </c>
      <c r="BY180" s="463">
        <f t="shared" si="274"/>
        <v>0.17343416014257093</v>
      </c>
      <c r="BZ180" s="463">
        <f t="shared" si="250"/>
        <v>0.15295707287924701</v>
      </c>
      <c r="CA180" s="549">
        <f t="shared" si="331"/>
        <v>4.4159095987357753E-2</v>
      </c>
      <c r="CB180" s="147">
        <f t="shared" si="294"/>
        <v>523.50740188842269</v>
      </c>
      <c r="CC180" s="153">
        <f t="shared" si="251"/>
        <v>0.33406937351476862</v>
      </c>
      <c r="CD180" s="5">
        <f t="shared" si="295"/>
        <v>2.5199999999999996</v>
      </c>
      <c r="CE180" s="153">
        <f t="shared" si="296"/>
        <v>0.88294980612073748</v>
      </c>
      <c r="CF180" s="5">
        <f t="shared" si="297"/>
        <v>88.294980612073743</v>
      </c>
      <c r="CG180">
        <f t="shared" si="298"/>
        <v>69.999999999999986</v>
      </c>
      <c r="CI180" s="59">
        <f t="shared" si="332"/>
        <v>-50</v>
      </c>
      <c r="CJ180">
        <f t="shared" si="333"/>
        <v>-50</v>
      </c>
    </row>
    <row r="181" spans="5:88" x14ac:dyDescent="0.25">
      <c r="E181" s="150">
        <v>71</v>
      </c>
      <c r="F181" s="191">
        <f t="shared" si="334"/>
        <v>7.0999999999999994E-2</v>
      </c>
      <c r="G181" s="191">
        <f t="shared" si="299"/>
        <v>7.0999999999999994E-2</v>
      </c>
      <c r="H181" s="191">
        <f t="shared" si="300"/>
        <v>1.42</v>
      </c>
      <c r="I181" s="191">
        <f t="shared" si="301"/>
        <v>1.1359999999999999</v>
      </c>
      <c r="J181" s="472">
        <f t="shared" si="302"/>
        <v>9</v>
      </c>
      <c r="K181" s="386">
        <f t="shared" si="303"/>
        <v>16.791955882635513</v>
      </c>
      <c r="L181" s="386">
        <f t="shared" si="304"/>
        <v>29.32</v>
      </c>
      <c r="M181" s="386"/>
      <c r="N181" s="191">
        <f t="shared" si="305"/>
        <v>0.69304229195088674</v>
      </c>
      <c r="O181" s="152">
        <f t="shared" si="306"/>
        <v>1.1695088676671213</v>
      </c>
      <c r="P181" s="152">
        <f t="shared" si="307"/>
        <v>1.6840927694406547</v>
      </c>
      <c r="Q181" s="191">
        <f t="shared" si="308"/>
        <v>5.8475443383356064E-2</v>
      </c>
      <c r="R181" s="191">
        <f t="shared" si="309"/>
        <v>7.3094304229195078E-2</v>
      </c>
      <c r="S181" s="191">
        <f t="shared" si="310"/>
        <v>16.471955882635513</v>
      </c>
      <c r="T181" s="191">
        <f t="shared" si="311"/>
        <v>0.75</v>
      </c>
      <c r="U181" s="191">
        <f t="shared" si="312"/>
        <v>12.499999999999998</v>
      </c>
      <c r="V181" s="191">
        <f t="shared" si="313"/>
        <v>6.6996364679790368</v>
      </c>
      <c r="W181" s="175">
        <f t="shared" si="314"/>
        <v>260.42159747862684</v>
      </c>
      <c r="X181" s="386">
        <f t="shared" si="315"/>
        <v>52.08431949572536</v>
      </c>
      <c r="Z181" s="191">
        <f t="shared" si="316"/>
        <v>0.14999999999999997</v>
      </c>
      <c r="AA181" s="153">
        <f t="shared" si="317"/>
        <v>1.3399272935958071</v>
      </c>
      <c r="AB181" s="153">
        <f t="shared" si="318"/>
        <v>1.453941692930971E-2</v>
      </c>
      <c r="AC181" s="153"/>
      <c r="AD181" s="153">
        <f t="shared" si="319"/>
        <v>1.3399272935958073</v>
      </c>
      <c r="AE181" s="317">
        <f t="shared" si="320"/>
        <v>706.50599565459038</v>
      </c>
      <c r="AF181" s="463">
        <f t="shared" si="321"/>
        <v>2.6170950472757488E-2</v>
      </c>
      <c r="AH181" s="153">
        <f t="shared" si="322"/>
        <v>0.31204395294802395</v>
      </c>
      <c r="AI181" s="153">
        <f t="shared" si="323"/>
        <v>0.75</v>
      </c>
      <c r="AJ181" s="153">
        <f t="shared" si="324"/>
        <v>1.6444444444444444</v>
      </c>
      <c r="AL181" s="317">
        <f t="shared" si="325"/>
        <v>71</v>
      </c>
      <c r="AM181" s="147">
        <f t="shared" si="326"/>
        <v>52.08431949572536</v>
      </c>
      <c r="AO181" t="str">
        <f t="shared" si="327"/>
        <v/>
      </c>
      <c r="AP181" t="str">
        <f t="shared" si="328"/>
        <v/>
      </c>
      <c r="AR181" s="5">
        <f t="shared" si="249"/>
        <v>19.199636467979033</v>
      </c>
      <c r="AS181" s="5">
        <f t="shared" si="335"/>
        <v>12.499999999999998</v>
      </c>
      <c r="AT181" s="5">
        <f t="shared" si="336"/>
        <v>6.699636467979035</v>
      </c>
      <c r="AU181" s="153">
        <f t="shared" si="337"/>
        <v>0.65105399369656691</v>
      </c>
      <c r="AW181" s="5">
        <f t="shared" si="275"/>
        <v>4.4375</v>
      </c>
      <c r="AX181" s="5"/>
      <c r="AY181" s="5">
        <f t="shared" si="276"/>
        <v>5.5468749999999991</v>
      </c>
      <c r="AZ181" s="5"/>
      <c r="BA181" s="5">
        <f t="shared" si="277"/>
        <v>1.174504170929658</v>
      </c>
      <c r="BB181" s="5"/>
      <c r="BC181" s="5"/>
      <c r="BD181" s="153">
        <f t="shared" si="278"/>
        <v>0.34938892915790321</v>
      </c>
      <c r="BE181" s="153">
        <f t="shared" si="279"/>
        <v>0.2557877561219335</v>
      </c>
      <c r="BF181" s="153">
        <f t="shared" si="280"/>
        <v>0.25478466688223961</v>
      </c>
      <c r="BG181" s="153"/>
      <c r="BH181" s="463">
        <f t="shared" si="281"/>
        <v>4.2725418336337209E-2</v>
      </c>
      <c r="BI181" s="463">
        <f t="shared" si="282"/>
        <v>5.7266709285550043E-3</v>
      </c>
      <c r="BJ181" s="463">
        <f t="shared" si="283"/>
        <v>6.5105399369656694E-4</v>
      </c>
      <c r="BK181" s="463">
        <f t="shared" si="284"/>
        <v>2.2387465550031032E-3</v>
      </c>
      <c r="BL181">
        <f t="shared" si="285"/>
        <v>2.6099999999999999E-3</v>
      </c>
      <c r="BM181">
        <f t="shared" si="329"/>
        <v>5.2084319495725358E-7</v>
      </c>
      <c r="BN181">
        <f t="shared" si="330"/>
        <v>6.0194848472446404E-2</v>
      </c>
      <c r="BO181" s="147">
        <f t="shared" si="286"/>
        <v>53.95188981359189</v>
      </c>
      <c r="BP181" s="153">
        <f t="shared" si="287"/>
        <v>2.8399999999999998E-2</v>
      </c>
      <c r="BQ181" s="153">
        <f t="shared" si="288"/>
        <v>2.8399999999999998E-2</v>
      </c>
      <c r="BR181" s="463"/>
      <c r="BT181" s="147">
        <f t="shared" si="289"/>
        <v>56.8</v>
      </c>
      <c r="BU181" s="463">
        <f t="shared" si="290"/>
        <v>9.7658099054485054E-2</v>
      </c>
      <c r="BV181" s="463">
        <f t="shared" si="291"/>
        <v>5.2080191440787411E-2</v>
      </c>
      <c r="BW181" s="463">
        <f t="shared" si="292"/>
        <v>3.24576132391469E-3</v>
      </c>
      <c r="BX181" s="463">
        <f t="shared" si="293"/>
        <v>0</v>
      </c>
      <c r="BY181" s="463">
        <f t="shared" si="274"/>
        <v>0.17346512991134394</v>
      </c>
      <c r="BZ181" s="463">
        <f t="shared" si="250"/>
        <v>0.15298405181918714</v>
      </c>
      <c r="CA181" s="549">
        <f t="shared" si="331"/>
        <v>4.3946144574518273E-2</v>
      </c>
      <c r="CB181" s="147">
        <f t="shared" si="294"/>
        <v>523.3793781242365</v>
      </c>
      <c r="CC181" s="153">
        <f t="shared" si="251"/>
        <v>0.33440612295830863</v>
      </c>
      <c r="CD181" s="5">
        <f t="shared" si="295"/>
        <v>2.556</v>
      </c>
      <c r="CE181" s="153">
        <f t="shared" si="296"/>
        <v>0.88430479706566401</v>
      </c>
      <c r="CF181" s="5">
        <f t="shared" si="297"/>
        <v>88.430479706566402</v>
      </c>
      <c r="CG181">
        <f t="shared" si="298"/>
        <v>70.999999999999986</v>
      </c>
      <c r="CI181" s="59">
        <f t="shared" si="332"/>
        <v>-50</v>
      </c>
      <c r="CJ181">
        <f t="shared" si="333"/>
        <v>-50</v>
      </c>
    </row>
    <row r="182" spans="5:88" x14ac:dyDescent="0.25">
      <c r="E182" s="150">
        <v>72</v>
      </c>
      <c r="F182" s="191">
        <f t="shared" si="334"/>
        <v>7.1999999999999995E-2</v>
      </c>
      <c r="G182" s="191">
        <f t="shared" si="299"/>
        <v>7.1999999999999995E-2</v>
      </c>
      <c r="H182" s="191">
        <f t="shared" si="300"/>
        <v>1.44</v>
      </c>
      <c r="I182" s="191">
        <f t="shared" si="301"/>
        <v>1.1519999999999999</v>
      </c>
      <c r="J182" s="472">
        <f t="shared" si="302"/>
        <v>9</v>
      </c>
      <c r="K182" s="386">
        <f t="shared" si="303"/>
        <v>16.563178717598909</v>
      </c>
      <c r="L182" s="386">
        <f t="shared" si="304"/>
        <v>29.32</v>
      </c>
      <c r="M182" s="386"/>
      <c r="N182" s="191">
        <f t="shared" si="305"/>
        <v>0.69304229195088674</v>
      </c>
      <c r="O182" s="152">
        <f t="shared" si="306"/>
        <v>1.1695088676671213</v>
      </c>
      <c r="P182" s="152">
        <f t="shared" si="307"/>
        <v>1.6840927694406547</v>
      </c>
      <c r="Q182" s="191">
        <f t="shared" si="308"/>
        <v>5.8475443383356064E-2</v>
      </c>
      <c r="R182" s="191">
        <f t="shared" si="309"/>
        <v>7.3094304229195078E-2</v>
      </c>
      <c r="S182" s="191">
        <f t="shared" si="310"/>
        <v>16.243178717598909</v>
      </c>
      <c r="T182" s="191">
        <f t="shared" si="311"/>
        <v>0.75</v>
      </c>
      <c r="U182" s="191">
        <f t="shared" si="312"/>
        <v>12.499999999999998</v>
      </c>
      <c r="V182" s="191">
        <f t="shared" si="313"/>
        <v>6.7921744924762022</v>
      </c>
      <c r="W182" s="175">
        <f t="shared" si="314"/>
        <v>259.17244331114472</v>
      </c>
      <c r="X182" s="386">
        <f t="shared" si="315"/>
        <v>51.834488662228942</v>
      </c>
      <c r="Z182" s="191">
        <f t="shared" si="316"/>
        <v>0.15</v>
      </c>
      <c r="AA182" s="153">
        <f t="shared" si="317"/>
        <v>1.3584348984952401</v>
      </c>
      <c r="AB182" s="153">
        <f t="shared" si="318"/>
        <v>1.4669537155089096E-2</v>
      </c>
      <c r="AC182" s="153"/>
      <c r="AD182" s="153">
        <f t="shared" si="319"/>
        <v>1.3584348984952401</v>
      </c>
      <c r="AE182" s="317">
        <f t="shared" si="320"/>
        <v>706.69562528422023</v>
      </c>
      <c r="AF182" s="463">
        <f t="shared" si="321"/>
        <v>2.640516687916037E-2</v>
      </c>
      <c r="AH182" s="153">
        <f t="shared" si="322"/>
        <v>0.31423376193982905</v>
      </c>
      <c r="AI182" s="153">
        <f t="shared" si="323"/>
        <v>0.75</v>
      </c>
      <c r="AJ182" s="153">
        <f t="shared" si="324"/>
        <v>1.6444444444444444</v>
      </c>
      <c r="AL182" s="317">
        <f t="shared" si="325"/>
        <v>72</v>
      </c>
      <c r="AM182" s="147">
        <f t="shared" si="326"/>
        <v>51.834488662228942</v>
      </c>
      <c r="AO182" t="str">
        <f t="shared" si="327"/>
        <v/>
      </c>
      <c r="AP182" t="str">
        <f t="shared" si="328"/>
        <v/>
      </c>
      <c r="AR182" s="5">
        <f t="shared" si="249"/>
        <v>19.2921744924762</v>
      </c>
      <c r="AS182" s="5">
        <f t="shared" si="335"/>
        <v>12.499999999999998</v>
      </c>
      <c r="AT182" s="5">
        <f t="shared" si="336"/>
        <v>6.7921744924762013</v>
      </c>
      <c r="AU182" s="153">
        <f t="shared" si="337"/>
        <v>0.64793110827786171</v>
      </c>
      <c r="AW182" s="5">
        <f t="shared" si="275"/>
        <v>4.4999999999999991</v>
      </c>
      <c r="AX182" s="5"/>
      <c r="AY182" s="5">
        <f t="shared" si="276"/>
        <v>5.6249999999999991</v>
      </c>
      <c r="AZ182" s="5"/>
      <c r="BA182" s="5">
        <f t="shared" si="277"/>
        <v>1.2074976875513246</v>
      </c>
      <c r="BB182" s="5"/>
      <c r="BC182" s="5"/>
      <c r="BD182" s="153">
        <f t="shared" si="278"/>
        <v>0.348549971743076</v>
      </c>
      <c r="BE182" s="153">
        <f t="shared" si="279"/>
        <v>0.25692979040566888</v>
      </c>
      <c r="BF182" s="153">
        <f t="shared" si="280"/>
        <v>0.25592222260015646</v>
      </c>
      <c r="BG182" s="153"/>
      <c r="BH182" s="463">
        <f t="shared" si="281"/>
        <v>4.2520478980734674E-2</v>
      </c>
      <c r="BI182" s="463">
        <f t="shared" si="282"/>
        <v>5.6992020284120726E-3</v>
      </c>
      <c r="BJ182" s="463">
        <f t="shared" si="283"/>
        <v>6.4793110827786175E-4</v>
      </c>
      <c r="BK182" s="463">
        <f t="shared" si="284"/>
        <v>2.2280080463072264E-3</v>
      </c>
      <c r="BL182">
        <f t="shared" si="285"/>
        <v>2.6099999999999999E-3</v>
      </c>
      <c r="BM182">
        <f t="shared" si="329"/>
        <v>5.1834488662228944E-7</v>
      </c>
      <c r="BN182">
        <f t="shared" si="330"/>
        <v>5.9916449416637402E-2</v>
      </c>
      <c r="BO182" s="147">
        <f t="shared" si="286"/>
        <v>53.705620163731837</v>
      </c>
      <c r="BP182" s="153">
        <f t="shared" si="287"/>
        <v>2.8799999999999999E-2</v>
      </c>
      <c r="BQ182" s="153">
        <f t="shared" si="288"/>
        <v>2.8799999999999999E-2</v>
      </c>
      <c r="BR182" s="463"/>
      <c r="BT182" s="147">
        <f t="shared" si="289"/>
        <v>57.6</v>
      </c>
      <c r="BU182" s="463">
        <f t="shared" si="290"/>
        <v>9.7189666241679268E-2</v>
      </c>
      <c r="BV182" s="463">
        <f t="shared" si="291"/>
        <v>5.2546282089529148E-2</v>
      </c>
      <c r="BW182" s="463">
        <f t="shared" si="292"/>
        <v>3.2748092010302017E-3</v>
      </c>
      <c r="BX182" s="463">
        <f t="shared" si="293"/>
        <v>0</v>
      </c>
      <c r="BY182" s="463">
        <f t="shared" si="274"/>
        <v>0.17349578616974601</v>
      </c>
      <c r="BZ182" s="463">
        <f t="shared" si="250"/>
        <v>0.15301075753223861</v>
      </c>
      <c r="CA182" s="549">
        <f t="shared" si="331"/>
        <v>4.3735349808755666E-2</v>
      </c>
      <c r="CB182" s="147">
        <f t="shared" si="294"/>
        <v>523.25265104297887</v>
      </c>
      <c r="CC182" s="153">
        <f t="shared" si="251"/>
        <v>0.33474758539513905</v>
      </c>
      <c r="CD182" s="5">
        <f t="shared" si="295"/>
        <v>2.5919999999999996</v>
      </c>
      <c r="CE182" s="153">
        <f t="shared" si="296"/>
        <v>0.88562471630092932</v>
      </c>
      <c r="CF182" s="5">
        <f t="shared" si="297"/>
        <v>88.562471630092929</v>
      </c>
      <c r="CG182">
        <f t="shared" si="298"/>
        <v>71.999999999999986</v>
      </c>
      <c r="CI182" s="59">
        <f t="shared" si="332"/>
        <v>-50</v>
      </c>
      <c r="CJ182">
        <f t="shared" si="333"/>
        <v>-50</v>
      </c>
    </row>
    <row r="183" spans="5:88" x14ac:dyDescent="0.25">
      <c r="E183" s="150">
        <v>73</v>
      </c>
      <c r="F183" s="191">
        <f t="shared" si="334"/>
        <v>7.2999999999999995E-2</v>
      </c>
      <c r="G183" s="191">
        <f t="shared" si="299"/>
        <v>7.2999999999999995E-2</v>
      </c>
      <c r="H183" s="191">
        <f t="shared" si="300"/>
        <v>1.46</v>
      </c>
      <c r="I183" s="191">
        <f t="shared" si="301"/>
        <v>1.1679999999999999</v>
      </c>
      <c r="J183" s="472">
        <f t="shared" si="302"/>
        <v>9</v>
      </c>
      <c r="K183" s="386">
        <f t="shared" si="303"/>
        <v>16.340669420097552</v>
      </c>
      <c r="L183" s="386">
        <f t="shared" si="304"/>
        <v>29.32</v>
      </c>
      <c r="M183" s="386"/>
      <c r="N183" s="191">
        <f t="shared" si="305"/>
        <v>0.69304229195088674</v>
      </c>
      <c r="O183" s="152">
        <f t="shared" si="306"/>
        <v>1.1695088676671213</v>
      </c>
      <c r="P183" s="152">
        <f t="shared" si="307"/>
        <v>1.6840927694406547</v>
      </c>
      <c r="Q183" s="191">
        <f t="shared" si="308"/>
        <v>5.8475443383356064E-2</v>
      </c>
      <c r="R183" s="191">
        <f t="shared" si="309"/>
        <v>7.3094304229195078E-2</v>
      </c>
      <c r="S183" s="191">
        <f t="shared" si="310"/>
        <v>16.020669420097551</v>
      </c>
      <c r="T183" s="191">
        <f t="shared" si="311"/>
        <v>0.75</v>
      </c>
      <c r="U183" s="191">
        <f t="shared" si="312"/>
        <v>12.499999999999998</v>
      </c>
      <c r="V183" s="191">
        <f t="shared" si="313"/>
        <v>6.8846628683176911</v>
      </c>
      <c r="W183" s="175">
        <f t="shared" si="314"/>
        <v>257.93587610811659</v>
      </c>
      <c r="X183" s="386">
        <f t="shared" si="315"/>
        <v>51.587175221623326</v>
      </c>
      <c r="Z183" s="191">
        <f t="shared" si="316"/>
        <v>0.15000000000000002</v>
      </c>
      <c r="AA183" s="153">
        <f t="shared" si="317"/>
        <v>1.3769325736635385</v>
      </c>
      <c r="AB183" s="153">
        <f t="shared" si="318"/>
        <v>1.479834623873786E-2</v>
      </c>
      <c r="AC183" s="153"/>
      <c r="AD183" s="153">
        <f t="shared" si="319"/>
        <v>1.3769325736635383</v>
      </c>
      <c r="AE183" s="317">
        <f t="shared" si="320"/>
        <v>706.88525491384962</v>
      </c>
      <c r="AF183" s="463">
        <f t="shared" si="321"/>
        <v>2.6637023229728139E-2</v>
      </c>
      <c r="AH183" s="153">
        <f t="shared" si="322"/>
        <v>0.31640841599787722</v>
      </c>
      <c r="AI183" s="153">
        <f t="shared" si="323"/>
        <v>0.75</v>
      </c>
      <c r="AJ183" s="153">
        <f t="shared" si="324"/>
        <v>1.6444444444444444</v>
      </c>
      <c r="AL183" s="317">
        <f t="shared" si="325"/>
        <v>73</v>
      </c>
      <c r="AM183" s="147">
        <f t="shared" si="326"/>
        <v>51.587175221623326</v>
      </c>
      <c r="AO183" t="str">
        <f t="shared" si="327"/>
        <v/>
      </c>
      <c r="AP183" t="str">
        <f t="shared" si="328"/>
        <v/>
      </c>
      <c r="AR183" s="5">
        <f t="shared" si="249"/>
        <v>19.38466286831769</v>
      </c>
      <c r="AS183" s="5">
        <f t="shared" si="335"/>
        <v>12.499999999999998</v>
      </c>
      <c r="AT183" s="5">
        <f t="shared" si="336"/>
        <v>6.884662868317692</v>
      </c>
      <c r="AU183" s="153">
        <f t="shared" si="337"/>
        <v>0.64483969027029142</v>
      </c>
      <c r="AW183" s="5">
        <f t="shared" si="275"/>
        <v>4.5625</v>
      </c>
      <c r="AX183" s="5"/>
      <c r="AY183" s="5">
        <f t="shared" si="276"/>
        <v>5.7031249999999991</v>
      </c>
      <c r="AZ183" s="5"/>
      <c r="BA183" s="5">
        <f t="shared" si="277"/>
        <v>1.2409392330547939</v>
      </c>
      <c r="BB183" s="5"/>
      <c r="BC183" s="5"/>
      <c r="BD183" s="153">
        <f t="shared" si="278"/>
        <v>0.34771747428865241</v>
      </c>
      <c r="BE183" s="153">
        <f t="shared" si="279"/>
        <v>0.25805533917034224</v>
      </c>
      <c r="BF183" s="153">
        <f t="shared" si="280"/>
        <v>0.25704335744810564</v>
      </c>
      <c r="BG183" s="153"/>
      <c r="BH183" s="463">
        <f t="shared" si="281"/>
        <v>4.2317604673987874E-2</v>
      </c>
      <c r="BI183" s="463">
        <f t="shared" si="282"/>
        <v>5.6720099156174859E-3</v>
      </c>
      <c r="BJ183" s="463">
        <f t="shared" si="283"/>
        <v>6.4483969027029158E-4</v>
      </c>
      <c r="BK183" s="463">
        <f t="shared" si="284"/>
        <v>2.2173777430120624E-3</v>
      </c>
      <c r="BL183">
        <f t="shared" si="285"/>
        <v>2.6099999999999999E-3</v>
      </c>
      <c r="BM183">
        <f t="shared" si="329"/>
        <v>5.1587175221623325E-7</v>
      </c>
      <c r="BN183">
        <f t="shared" si="330"/>
        <v>5.964087651756373E-2</v>
      </c>
      <c r="BO183" s="147">
        <f t="shared" si="286"/>
        <v>53.461832022887712</v>
      </c>
      <c r="BP183" s="153">
        <f t="shared" si="287"/>
        <v>2.92E-2</v>
      </c>
      <c r="BQ183" s="153">
        <f t="shared" si="288"/>
        <v>2.92E-2</v>
      </c>
      <c r="BR183" s="463"/>
      <c r="BT183" s="147">
        <f t="shared" si="289"/>
        <v>58.4</v>
      </c>
      <c r="BU183" s="463">
        <f t="shared" si="290"/>
        <v>9.6725953540543724E-2</v>
      </c>
      <c r="BV183" s="463">
        <f t="shared" si="291"/>
        <v>5.300767622715901E-2</v>
      </c>
      <c r="BW183" s="463">
        <f t="shared" si="292"/>
        <v>3.3035643804097299E-3</v>
      </c>
      <c r="BX183" s="463">
        <f t="shared" si="293"/>
        <v>0</v>
      </c>
      <c r="BY183" s="463">
        <f t="shared" si="274"/>
        <v>0.1735261336543526</v>
      </c>
      <c r="BZ183" s="463">
        <f t="shared" si="250"/>
        <v>0.15303719414811248</v>
      </c>
      <c r="CA183" s="549">
        <f t="shared" si="331"/>
        <v>4.3526679093244681E-2</v>
      </c>
      <c r="CB183" s="147">
        <f t="shared" si="294"/>
        <v>523.12720104382231</v>
      </c>
      <c r="CC183" s="153">
        <f t="shared" si="251"/>
        <v>0.33509368926516103</v>
      </c>
      <c r="CD183" s="5">
        <f t="shared" si="295"/>
        <v>2.6280000000000001</v>
      </c>
      <c r="CE183" s="153">
        <f t="shared" si="296"/>
        <v>0.88691086937981256</v>
      </c>
      <c r="CF183" s="5">
        <f t="shared" si="297"/>
        <v>88.691086937981254</v>
      </c>
      <c r="CG183">
        <f t="shared" si="298"/>
        <v>72.999999999999986</v>
      </c>
      <c r="CI183" s="59">
        <f t="shared" si="332"/>
        <v>-50</v>
      </c>
      <c r="CJ183">
        <f t="shared" si="333"/>
        <v>-50</v>
      </c>
    </row>
    <row r="184" spans="5:88" x14ac:dyDescent="0.25">
      <c r="E184" s="150">
        <v>74</v>
      </c>
      <c r="F184" s="191">
        <f t="shared" si="334"/>
        <v>7.3999999999999996E-2</v>
      </c>
      <c r="G184" s="191">
        <f t="shared" si="299"/>
        <v>7.3999999999999996E-2</v>
      </c>
      <c r="H184" s="191">
        <f t="shared" si="300"/>
        <v>1.48</v>
      </c>
      <c r="I184" s="191">
        <f t="shared" si="301"/>
        <v>1.1839999999999999</v>
      </c>
      <c r="J184" s="472">
        <f t="shared" si="302"/>
        <v>9</v>
      </c>
      <c r="K184" s="386">
        <f t="shared" si="303"/>
        <v>16.124173887393532</v>
      </c>
      <c r="L184" s="386">
        <f t="shared" si="304"/>
        <v>29.32</v>
      </c>
      <c r="M184" s="386"/>
      <c r="N184" s="191">
        <f t="shared" si="305"/>
        <v>0.69304229195088674</v>
      </c>
      <c r="O184" s="152">
        <f t="shared" si="306"/>
        <v>1.1695088676671213</v>
      </c>
      <c r="P184" s="152">
        <f t="shared" si="307"/>
        <v>1.6840927694406547</v>
      </c>
      <c r="Q184" s="191">
        <f t="shared" si="308"/>
        <v>5.8475443383356064E-2</v>
      </c>
      <c r="R184" s="191">
        <f t="shared" si="309"/>
        <v>7.3094304229195078E-2</v>
      </c>
      <c r="S184" s="191">
        <f t="shared" si="310"/>
        <v>15.804173887393532</v>
      </c>
      <c r="T184" s="191">
        <f t="shared" si="311"/>
        <v>0.75</v>
      </c>
      <c r="U184" s="191">
        <f t="shared" si="312"/>
        <v>12.499999999999998</v>
      </c>
      <c r="V184" s="191">
        <f t="shared" si="313"/>
        <v>6.9771016354491566</v>
      </c>
      <c r="W184" s="175">
        <f t="shared" si="314"/>
        <v>256.71170657649532</v>
      </c>
      <c r="X184" s="386">
        <f t="shared" si="315"/>
        <v>51.342341315299059</v>
      </c>
      <c r="Z184" s="191">
        <f t="shared" si="316"/>
        <v>0.14999999999999997</v>
      </c>
      <c r="AA184" s="153">
        <f t="shared" si="317"/>
        <v>1.3954203270898309</v>
      </c>
      <c r="AB184" s="153">
        <f t="shared" si="318"/>
        <v>1.4925863898281738E-2</v>
      </c>
      <c r="AC184" s="153"/>
      <c r="AD184" s="153">
        <f t="shared" si="319"/>
        <v>1.3954203270898311</v>
      </c>
      <c r="AE184" s="317">
        <f t="shared" si="320"/>
        <v>707.07488454347947</v>
      </c>
      <c r="AF184" s="463">
        <f t="shared" si="321"/>
        <v>2.6866555016907139E-2</v>
      </c>
      <c r="AH184" s="153">
        <f t="shared" si="322"/>
        <v>0.31856822548037383</v>
      </c>
      <c r="AI184" s="153">
        <f t="shared" si="323"/>
        <v>0.75</v>
      </c>
      <c r="AJ184" s="153">
        <f t="shared" si="324"/>
        <v>1.6444444444444444</v>
      </c>
      <c r="AL184" s="317">
        <f t="shared" si="325"/>
        <v>74</v>
      </c>
      <c r="AM184" s="147">
        <f t="shared" si="326"/>
        <v>51.342341315299059</v>
      </c>
      <c r="AO184" t="str">
        <f t="shared" si="327"/>
        <v/>
      </c>
      <c r="AP184" t="str">
        <f t="shared" si="328"/>
        <v/>
      </c>
      <c r="AR184" s="5">
        <f t="shared" si="249"/>
        <v>19.477101635449156</v>
      </c>
      <c r="AS184" s="5">
        <f t="shared" si="335"/>
        <v>12.499999999999998</v>
      </c>
      <c r="AT184" s="5">
        <f t="shared" si="336"/>
        <v>6.9771016354491575</v>
      </c>
      <c r="AU184" s="153">
        <f t="shared" si="337"/>
        <v>0.64177926644123806</v>
      </c>
      <c r="AW184" s="5">
        <f t="shared" si="275"/>
        <v>4.6249999999999991</v>
      </c>
      <c r="AX184" s="5"/>
      <c r="AY184" s="5">
        <f t="shared" si="276"/>
        <v>5.7812499999999991</v>
      </c>
      <c r="AZ184" s="5"/>
      <c r="BA184" s="5">
        <f t="shared" si="277"/>
        <v>1.2748284469709572</v>
      </c>
      <c r="BB184" s="5"/>
      <c r="BC184" s="5"/>
      <c r="BD184" s="153">
        <f t="shared" si="278"/>
        <v>0.34689135540934446</v>
      </c>
      <c r="BE184" s="153">
        <f t="shared" si="279"/>
        <v>0.25916478839199564</v>
      </c>
      <c r="BF184" s="153">
        <f t="shared" si="280"/>
        <v>0.25814845588849761</v>
      </c>
      <c r="BG184" s="153"/>
      <c r="BH184" s="463">
        <f t="shared" si="281"/>
        <v>4.2116764360206248E-2</v>
      </c>
      <c r="BI184" s="463">
        <f t="shared" si="282"/>
        <v>5.645090427617132E-3</v>
      </c>
      <c r="BJ184" s="463">
        <f t="shared" si="283"/>
        <v>6.417792664412382E-4</v>
      </c>
      <c r="BK184" s="463">
        <f t="shared" si="284"/>
        <v>2.2068540178364579E-3</v>
      </c>
      <c r="BL184">
        <f t="shared" si="285"/>
        <v>2.6099999999999999E-3</v>
      </c>
      <c r="BM184">
        <f t="shared" si="329"/>
        <v>5.1342341315299061E-7</v>
      </c>
      <c r="BN184">
        <f t="shared" si="330"/>
        <v>5.9368086958129992E-2</v>
      </c>
      <c r="BO184" s="147">
        <f t="shared" si="286"/>
        <v>53.220488072101077</v>
      </c>
      <c r="BP184" s="153">
        <f t="shared" si="287"/>
        <v>2.9600000000000001E-2</v>
      </c>
      <c r="BQ184" s="153">
        <f t="shared" si="288"/>
        <v>2.9600000000000001E-2</v>
      </c>
      <c r="BR184" s="463"/>
      <c r="BT184" s="147">
        <f t="shared" si="289"/>
        <v>59.2</v>
      </c>
      <c r="BU184" s="463">
        <f t="shared" si="290"/>
        <v>9.6266889966185709E-2</v>
      </c>
      <c r="BV184" s="463">
        <f t="shared" si="291"/>
        <v>5.3464444483645235E-2</v>
      </c>
      <c r="BW184" s="463">
        <f t="shared" si="292"/>
        <v>3.3320312638807797E-3</v>
      </c>
      <c r="BX184" s="463">
        <f t="shared" si="293"/>
        <v>0</v>
      </c>
      <c r="BY184" s="463">
        <f t="shared" si="274"/>
        <v>0.17355617700680243</v>
      </c>
      <c r="BZ184" s="463">
        <f t="shared" si="250"/>
        <v>0.15306336571371174</v>
      </c>
      <c r="CA184" s="549">
        <f t="shared" si="331"/>
        <v>4.3320100484783582E-2</v>
      </c>
      <c r="CB184" s="147">
        <f t="shared" si="294"/>
        <v>523.00300891900952</v>
      </c>
      <c r="CC184" s="153">
        <f t="shared" si="251"/>
        <v>0.33544436444971598</v>
      </c>
      <c r="CD184" s="5">
        <f t="shared" si="295"/>
        <v>2.6639999999999997</v>
      </c>
      <c r="CE184" s="153">
        <f t="shared" si="296"/>
        <v>0.88816449858997226</v>
      </c>
      <c r="CF184" s="5">
        <f t="shared" si="297"/>
        <v>88.816449858997231</v>
      </c>
      <c r="CG184">
        <f t="shared" si="298"/>
        <v>73.999999999999986</v>
      </c>
      <c r="CI184" s="59">
        <f t="shared" si="332"/>
        <v>-50</v>
      </c>
      <c r="CJ184">
        <f t="shared" si="333"/>
        <v>-50</v>
      </c>
    </row>
    <row r="185" spans="5:88" x14ac:dyDescent="0.25">
      <c r="E185" s="150">
        <v>75</v>
      </c>
      <c r="F185" s="191">
        <f t="shared" si="334"/>
        <v>7.5000000000000011E-2</v>
      </c>
      <c r="G185" s="191">
        <f t="shared" si="299"/>
        <v>7.5000000000000011E-2</v>
      </c>
      <c r="H185" s="191">
        <f t="shared" si="300"/>
        <v>1.5000000000000002</v>
      </c>
      <c r="I185" s="191">
        <f t="shared" si="301"/>
        <v>1.2000000000000002</v>
      </c>
      <c r="J185" s="472">
        <f t="shared" si="302"/>
        <v>9</v>
      </c>
      <c r="K185" s="386">
        <f t="shared" si="303"/>
        <v>15.913451568894947</v>
      </c>
      <c r="L185" s="386">
        <f t="shared" si="304"/>
        <v>29.32</v>
      </c>
      <c r="M185" s="386"/>
      <c r="N185" s="191">
        <f t="shared" si="305"/>
        <v>0.69304229195088674</v>
      </c>
      <c r="O185" s="152">
        <f t="shared" si="306"/>
        <v>1.1695088676671213</v>
      </c>
      <c r="P185" s="152">
        <f t="shared" si="307"/>
        <v>1.6840927694406547</v>
      </c>
      <c r="Q185" s="191">
        <f t="shared" si="308"/>
        <v>5.8475443383356064E-2</v>
      </c>
      <c r="R185" s="191">
        <f t="shared" si="309"/>
        <v>7.3094304229195078E-2</v>
      </c>
      <c r="S185" s="191">
        <f t="shared" si="310"/>
        <v>15.593451568894947</v>
      </c>
      <c r="T185" s="191">
        <f t="shared" si="311"/>
        <v>0.75</v>
      </c>
      <c r="U185" s="191">
        <f t="shared" si="312"/>
        <v>12.499999999999998</v>
      </c>
      <c r="V185" s="191">
        <f t="shared" si="313"/>
        <v>7.0694908337734148</v>
      </c>
      <c r="W185" s="175">
        <f t="shared" si="314"/>
        <v>255.49974919995881</v>
      </c>
      <c r="X185" s="386">
        <f t="shared" si="315"/>
        <v>51.099949839991766</v>
      </c>
      <c r="Z185" s="191">
        <f t="shared" si="316"/>
        <v>0.15</v>
      </c>
      <c r="AA185" s="153">
        <f t="shared" si="317"/>
        <v>1.4138981667546828</v>
      </c>
      <c r="AB185" s="153">
        <f t="shared" si="318"/>
        <v>1.5052109458337626E-2</v>
      </c>
      <c r="AC185" s="153"/>
      <c r="AD185" s="153">
        <f t="shared" si="319"/>
        <v>1.4138981667546828</v>
      </c>
      <c r="AE185" s="317">
        <f t="shared" si="320"/>
        <v>707.26451417310898</v>
      </c>
      <c r="AF185" s="463">
        <f t="shared" si="321"/>
        <v>2.7093797025007724E-2</v>
      </c>
      <c r="AH185" s="153">
        <f t="shared" si="322"/>
        <v>0.32071349029490931</v>
      </c>
      <c r="AI185" s="153">
        <f t="shared" si="323"/>
        <v>0.75</v>
      </c>
      <c r="AJ185" s="153">
        <f t="shared" si="324"/>
        <v>1.6444444444444444</v>
      </c>
      <c r="AL185" s="317">
        <f t="shared" si="325"/>
        <v>75.000000000000014</v>
      </c>
      <c r="AM185" s="147">
        <f t="shared" si="326"/>
        <v>51.099949839991766</v>
      </c>
      <c r="AO185" t="str">
        <f t="shared" si="327"/>
        <v/>
      </c>
      <c r="AP185" t="str">
        <f t="shared" si="328"/>
        <v/>
      </c>
      <c r="AR185" s="5">
        <f t="shared" si="249"/>
        <v>19.569490833773415</v>
      </c>
      <c r="AS185" s="5">
        <f t="shared" si="335"/>
        <v>12.499999999999998</v>
      </c>
      <c r="AT185" s="5">
        <f t="shared" si="336"/>
        <v>7.0694908337734166</v>
      </c>
      <c r="AU185" s="153">
        <f t="shared" si="337"/>
        <v>0.63874937299989687</v>
      </c>
      <c r="AW185" s="5">
        <f t="shared" si="275"/>
        <v>4.6875</v>
      </c>
      <c r="AX185" s="5"/>
      <c r="AY185" s="5">
        <f t="shared" si="276"/>
        <v>5.859375</v>
      </c>
      <c r="AZ185" s="5"/>
      <c r="BA185" s="5">
        <f t="shared" si="277"/>
        <v>1.3091649692172997</v>
      </c>
      <c r="BB185" s="5"/>
      <c r="BC185" s="5"/>
      <c r="BD185" s="153">
        <f t="shared" si="278"/>
        <v>0.34607153514480304</v>
      </c>
      <c r="BE185" s="153">
        <f t="shared" si="279"/>
        <v>0.26025851102801489</v>
      </c>
      <c r="BF185" s="153">
        <f t="shared" si="280"/>
        <v>0.25923788941614034</v>
      </c>
      <c r="BG185" s="153"/>
      <c r="BH185" s="463">
        <f t="shared" si="281"/>
        <v>4.1917927603118223E-2</v>
      </c>
      <c r="BI185" s="463">
        <f t="shared" si="282"/>
        <v>5.6184394849070956E-3</v>
      </c>
      <c r="BJ185" s="463">
        <f t="shared" si="283"/>
        <v>6.3874937299989701E-4</v>
      </c>
      <c r="BK185" s="463">
        <f t="shared" si="284"/>
        <v>2.1964352759663475E-3</v>
      </c>
      <c r="BL185">
        <f t="shared" si="285"/>
        <v>2.6099999999999999E-3</v>
      </c>
      <c r="BM185">
        <f t="shared" si="329"/>
        <v>5.1099949839991765E-7</v>
      </c>
      <c r="BN185">
        <f t="shared" si="330"/>
        <v>5.9098038781816714E-2</v>
      </c>
      <c r="BO185" s="147">
        <f t="shared" si="286"/>
        <v>52.98155173699157</v>
      </c>
      <c r="BP185" s="153">
        <f t="shared" si="287"/>
        <v>3.0000000000000006E-2</v>
      </c>
      <c r="BQ185" s="153">
        <f t="shared" si="288"/>
        <v>3.0000000000000006E-2</v>
      </c>
      <c r="BR185" s="463"/>
      <c r="BT185" s="147">
        <f t="shared" si="289"/>
        <v>60.000000000000014</v>
      </c>
      <c r="BU185" s="463">
        <f t="shared" si="290"/>
        <v>9.5812405949984525E-2</v>
      </c>
      <c r="BV185" s="463">
        <f t="shared" si="291"/>
        <v>5.3916656079765403E-2</v>
      </c>
      <c r="BW185" s="463">
        <f t="shared" si="292"/>
        <v>3.3602141654467503E-3</v>
      </c>
      <c r="BX185" s="463">
        <f t="shared" si="293"/>
        <v>0</v>
      </c>
      <c r="BY185" s="463">
        <f t="shared" si="274"/>
        <v>0.17358592077616425</v>
      </c>
      <c r="BZ185" s="463">
        <f t="shared" si="250"/>
        <v>0.15308927619519666</v>
      </c>
      <c r="CA185" s="549">
        <f t="shared" si="331"/>
        <v>4.3115582677493047E-2</v>
      </c>
      <c r="CB185" s="147">
        <f t="shared" si="294"/>
        <v>522.88005584405062</v>
      </c>
      <c r="CC185" s="153">
        <f t="shared" si="251"/>
        <v>0.33579954223547404</v>
      </c>
      <c r="CD185" s="5">
        <f t="shared" si="295"/>
        <v>2.7</v>
      </c>
      <c r="CE185" s="153">
        <f t="shared" si="296"/>
        <v>0.88938678672169469</v>
      </c>
      <c r="CF185" s="5">
        <f t="shared" si="297"/>
        <v>88.938678672169473</v>
      </c>
      <c r="CG185">
        <f t="shared" si="298"/>
        <v>75.000000000000014</v>
      </c>
      <c r="CI185" s="59">
        <f t="shared" si="332"/>
        <v>-50</v>
      </c>
      <c r="CJ185">
        <f t="shared" si="333"/>
        <v>-50</v>
      </c>
    </row>
    <row r="186" spans="5:88" x14ac:dyDescent="0.25">
      <c r="E186" s="150">
        <v>76</v>
      </c>
      <c r="F186" s="191">
        <f t="shared" si="334"/>
        <v>7.6000000000000012E-2</v>
      </c>
      <c r="G186" s="191">
        <f t="shared" si="299"/>
        <v>7.6000000000000012E-2</v>
      </c>
      <c r="H186" s="191">
        <f t="shared" si="300"/>
        <v>1.5200000000000002</v>
      </c>
      <c r="I186" s="191">
        <f t="shared" si="301"/>
        <v>1.2160000000000002</v>
      </c>
      <c r="J186" s="472">
        <f t="shared" si="302"/>
        <v>9</v>
      </c>
      <c r="K186" s="386">
        <f t="shared" si="303"/>
        <v>15.708274574567383</v>
      </c>
      <c r="L186" s="386">
        <f t="shared" si="304"/>
        <v>29.32</v>
      </c>
      <c r="M186" s="386"/>
      <c r="N186" s="191">
        <f t="shared" si="305"/>
        <v>0.69304229195088674</v>
      </c>
      <c r="O186" s="152">
        <f t="shared" si="306"/>
        <v>1.1695088676671213</v>
      </c>
      <c r="P186" s="152">
        <f t="shared" si="307"/>
        <v>1.6840927694406547</v>
      </c>
      <c r="Q186" s="191">
        <f t="shared" si="308"/>
        <v>5.8475443383356064E-2</v>
      </c>
      <c r="R186" s="191">
        <f t="shared" si="309"/>
        <v>7.3094304229195078E-2</v>
      </c>
      <c r="S186" s="191">
        <f t="shared" si="310"/>
        <v>15.388274574567383</v>
      </c>
      <c r="T186" s="191">
        <f t="shared" si="311"/>
        <v>0.75</v>
      </c>
      <c r="U186" s="191">
        <f t="shared" si="312"/>
        <v>12.499999999999998</v>
      </c>
      <c r="V186" s="191">
        <f t="shared" si="313"/>
        <v>7.1618305031504912</v>
      </c>
      <c r="W186" s="175">
        <f t="shared" si="314"/>
        <v>254.29982214518793</v>
      </c>
      <c r="X186" s="386">
        <f t="shared" si="315"/>
        <v>50.859964429037575</v>
      </c>
      <c r="Z186" s="191">
        <f t="shared" si="316"/>
        <v>0.14999999999999997</v>
      </c>
      <c r="AA186" s="153">
        <f t="shared" si="317"/>
        <v>1.4323661006300981</v>
      </c>
      <c r="AB186" s="153">
        <f t="shared" si="318"/>
        <v>1.5177101859876261E-2</v>
      </c>
      <c r="AC186" s="153"/>
      <c r="AD186" s="153">
        <f t="shared" si="319"/>
        <v>1.4323661006300981</v>
      </c>
      <c r="AE186" s="317">
        <f t="shared" si="320"/>
        <v>707.45414380273883</v>
      </c>
      <c r="AF186" s="463">
        <f t="shared" si="321"/>
        <v>2.7318783347777268E-2</v>
      </c>
      <c r="AH186" s="153">
        <f t="shared" si="322"/>
        <v>0.32284450038458368</v>
      </c>
      <c r="AI186" s="153">
        <f t="shared" si="323"/>
        <v>0.75</v>
      </c>
      <c r="AJ186" s="153">
        <f t="shared" si="324"/>
        <v>1.6444444444444444</v>
      </c>
      <c r="AL186" s="317">
        <f t="shared" si="325"/>
        <v>76.000000000000014</v>
      </c>
      <c r="AM186" s="147">
        <f t="shared" si="326"/>
        <v>50.859964429037575</v>
      </c>
      <c r="AO186" t="str">
        <f t="shared" si="327"/>
        <v/>
      </c>
      <c r="AP186" t="str">
        <f t="shared" si="328"/>
        <v/>
      </c>
      <c r="AR186" s="5">
        <f t="shared" si="249"/>
        <v>19.66183050315049</v>
      </c>
      <c r="AS186" s="5">
        <f t="shared" si="335"/>
        <v>12.499999999999998</v>
      </c>
      <c r="AT186" s="5">
        <f t="shared" si="336"/>
        <v>7.1618305031504921</v>
      </c>
      <c r="AU186" s="153">
        <f t="shared" si="337"/>
        <v>0.63574955536296962</v>
      </c>
      <c r="AW186" s="5">
        <f t="shared" si="275"/>
        <v>4.7500000000000009</v>
      </c>
      <c r="AX186" s="5"/>
      <c r="AY186" s="5">
        <f t="shared" si="276"/>
        <v>5.9375</v>
      </c>
      <c r="AZ186" s="5"/>
      <c r="BA186" s="5">
        <f t="shared" si="277"/>
        <v>1.3439484400973765</v>
      </c>
      <c r="BB186" s="5"/>
      <c r="BC186" s="5"/>
      <c r="BD186" s="153">
        <f t="shared" si="278"/>
        <v>0.34525793492772444</v>
      </c>
      <c r="BE186" s="153">
        <f t="shared" si="279"/>
        <v>0.26133686760471281</v>
      </c>
      <c r="BF186" s="153">
        <f t="shared" si="280"/>
        <v>0.26031201714351787</v>
      </c>
      <c r="BG186" s="153"/>
      <c r="BH186" s="463">
        <f t="shared" si="281"/>
        <v>4.1721064570694882E-2</v>
      </c>
      <c r="BI186" s="463">
        <f t="shared" si="282"/>
        <v>5.5920530889726813E-3</v>
      </c>
      <c r="BJ186" s="463">
        <f t="shared" si="283"/>
        <v>6.3574955536296971E-4</v>
      </c>
      <c r="BK186" s="463">
        <f t="shared" si="284"/>
        <v>2.1861199542490537E-3</v>
      </c>
      <c r="BL186">
        <f t="shared" si="285"/>
        <v>2.6099999999999999E-3</v>
      </c>
      <c r="BM186">
        <f t="shared" si="329"/>
        <v>5.0859964429037578E-7</v>
      </c>
      <c r="BN186">
        <f t="shared" si="330"/>
        <v>5.8830690871167698E-2</v>
      </c>
      <c r="BO186" s="147">
        <f t="shared" si="286"/>
        <v>52.74498716927959</v>
      </c>
      <c r="BP186" s="153">
        <f t="shared" si="287"/>
        <v>3.0400000000000007E-2</v>
      </c>
      <c r="BQ186" s="153">
        <f t="shared" si="288"/>
        <v>3.0400000000000007E-2</v>
      </c>
      <c r="BR186" s="463"/>
      <c r="BT186" s="147">
        <f t="shared" si="289"/>
        <v>60.800000000000011</v>
      </c>
      <c r="BU186" s="463">
        <f t="shared" si="290"/>
        <v>9.5362433304445451E-2</v>
      </c>
      <c r="BV186" s="463">
        <f t="shared" si="291"/>
        <v>5.4364378862076783E-2</v>
      </c>
      <c r="BW186" s="463">
        <f t="shared" si="292"/>
        <v>3.3881173134663574E-3</v>
      </c>
      <c r="BX186" s="463">
        <f t="shared" si="293"/>
        <v>0</v>
      </c>
      <c r="BY186" s="463">
        <f t="shared" si="274"/>
        <v>0.17361536942123321</v>
      </c>
      <c r="BZ186" s="463">
        <f t="shared" si="250"/>
        <v>0.15311492947998859</v>
      </c>
      <c r="CA186" s="549">
        <f t="shared" si="331"/>
        <v>4.2913094987000452E-2</v>
      </c>
      <c r="CB186" s="147">
        <f t="shared" si="294"/>
        <v>522.75832336821077</v>
      </c>
      <c r="CC186" s="153">
        <f t="shared" si="251"/>
        <v>0.33615915527940138</v>
      </c>
      <c r="CD186" s="5">
        <f t="shared" si="295"/>
        <v>2.7360000000000007</v>
      </c>
      <c r="CE186" s="153">
        <f t="shared" si="296"/>
        <v>0.89057886057051339</v>
      </c>
      <c r="CF186" s="5">
        <f t="shared" si="297"/>
        <v>89.057886057051334</v>
      </c>
      <c r="CG186">
        <f t="shared" si="298"/>
        <v>76.000000000000014</v>
      </c>
      <c r="CI186" s="59">
        <f t="shared" si="332"/>
        <v>-50</v>
      </c>
      <c r="CJ186">
        <f t="shared" si="333"/>
        <v>-50</v>
      </c>
    </row>
    <row r="187" spans="5:88" x14ac:dyDescent="0.25">
      <c r="E187" s="150">
        <v>77</v>
      </c>
      <c r="F187" s="191">
        <f t="shared" si="334"/>
        <v>7.7000000000000013E-2</v>
      </c>
      <c r="G187" s="191">
        <f t="shared" si="299"/>
        <v>7.7000000000000013E-2</v>
      </c>
      <c r="H187" s="191">
        <f t="shared" si="300"/>
        <v>1.5400000000000003</v>
      </c>
      <c r="I187" s="191">
        <f t="shared" si="301"/>
        <v>1.2320000000000002</v>
      </c>
      <c r="J187" s="472">
        <f t="shared" si="302"/>
        <v>9</v>
      </c>
      <c r="K187" s="386">
        <f t="shared" si="303"/>
        <v>15.508426852819754</v>
      </c>
      <c r="L187" s="386">
        <f t="shared" si="304"/>
        <v>29.32</v>
      </c>
      <c r="M187" s="386"/>
      <c r="N187" s="191">
        <f t="shared" si="305"/>
        <v>0.69304229195088674</v>
      </c>
      <c r="O187" s="152">
        <f t="shared" si="306"/>
        <v>1.1695088676671213</v>
      </c>
      <c r="P187" s="152">
        <f t="shared" si="307"/>
        <v>1.6840927694406547</v>
      </c>
      <c r="Q187" s="191">
        <f t="shared" si="308"/>
        <v>5.8475443383356064E-2</v>
      </c>
      <c r="R187" s="191">
        <f t="shared" si="309"/>
        <v>7.3094304229195078E-2</v>
      </c>
      <c r="S187" s="191">
        <f t="shared" si="310"/>
        <v>15.188426852819754</v>
      </c>
      <c r="T187" s="191">
        <f t="shared" si="311"/>
        <v>0.75</v>
      </c>
      <c r="U187" s="191">
        <f t="shared" si="312"/>
        <v>12.499999999999998</v>
      </c>
      <c r="V187" s="191">
        <f t="shared" si="313"/>
        <v>7.2541206833976952</v>
      </c>
      <c r="W187" s="175">
        <f t="shared" si="314"/>
        <v>253.11174717092007</v>
      </c>
      <c r="X187" s="386">
        <f t="shared" si="315"/>
        <v>50.622349434184009</v>
      </c>
      <c r="Z187" s="191">
        <f t="shared" si="316"/>
        <v>0.15000000000000002</v>
      </c>
      <c r="AA187" s="153">
        <f t="shared" si="317"/>
        <v>1.4508241366795389</v>
      </c>
      <c r="AB187" s="153">
        <f t="shared" si="318"/>
        <v>1.5300859669695828E-2</v>
      </c>
      <c r="AC187" s="153"/>
      <c r="AD187" s="153">
        <f t="shared" si="319"/>
        <v>1.4508241366795387</v>
      </c>
      <c r="AE187" s="317">
        <f t="shared" si="320"/>
        <v>707.64377343236833</v>
      </c>
      <c r="AF187" s="463">
        <f t="shared" si="321"/>
        <v>2.7541547405452484E-2</v>
      </c>
      <c r="AH187" s="153">
        <f t="shared" si="322"/>
        <v>0.32496153618543844</v>
      </c>
      <c r="AI187" s="153">
        <f t="shared" si="323"/>
        <v>0.75</v>
      </c>
      <c r="AJ187" s="153">
        <f t="shared" si="324"/>
        <v>1.6444444444444444</v>
      </c>
      <c r="AL187" s="317">
        <f t="shared" si="325"/>
        <v>77.000000000000014</v>
      </c>
      <c r="AM187" s="147">
        <f t="shared" si="326"/>
        <v>50.622349434184009</v>
      </c>
      <c r="AO187" t="str">
        <f t="shared" si="327"/>
        <v/>
      </c>
      <c r="AP187" t="str">
        <f t="shared" si="328"/>
        <v/>
      </c>
      <c r="AR187" s="5">
        <f t="shared" si="249"/>
        <v>19.754120683397694</v>
      </c>
      <c r="AS187" s="5">
        <f t="shared" si="335"/>
        <v>12.499999999999998</v>
      </c>
      <c r="AT187" s="5">
        <f t="shared" si="336"/>
        <v>7.2541206833976961</v>
      </c>
      <c r="AU187" s="153">
        <f t="shared" si="337"/>
        <v>0.63277936792730005</v>
      </c>
      <c r="AW187" s="5">
        <f t="shared" si="275"/>
        <v>4.8125</v>
      </c>
      <c r="AX187" s="5"/>
      <c r="AY187" s="5">
        <f t="shared" si="276"/>
        <v>6.015625</v>
      </c>
      <c r="AZ187" s="5"/>
      <c r="BA187" s="5">
        <f t="shared" si="277"/>
        <v>1.3791785003003028</v>
      </c>
      <c r="BB187" s="5"/>
      <c r="BC187" s="5"/>
      <c r="BD187" s="153">
        <f t="shared" si="278"/>
        <v>0.34445047755282437</v>
      </c>
      <c r="BE187" s="153">
        <f t="shared" si="279"/>
        <v>0.26240020677131953</v>
      </c>
      <c r="BF187" s="153">
        <f t="shared" si="280"/>
        <v>0.26137118635260848</v>
      </c>
      <c r="BG187" s="153"/>
      <c r="BH187" s="463">
        <f t="shared" si="281"/>
        <v>4.1526146020229068E-2</v>
      </c>
      <c r="BI187" s="463">
        <f t="shared" si="282"/>
        <v>5.5659273202885327E-3</v>
      </c>
      <c r="BJ187" s="463">
        <f t="shared" si="283"/>
        <v>6.3277936792730015E-4</v>
      </c>
      <c r="BK187" s="463">
        <f t="shared" si="284"/>
        <v>2.1759065204114639E-3</v>
      </c>
      <c r="BL187">
        <f t="shared" si="285"/>
        <v>2.6099999999999999E-3</v>
      </c>
      <c r="BM187">
        <f t="shared" si="329"/>
        <v>5.0622349434184006E-7</v>
      </c>
      <c r="BN187">
        <f t="shared" si="330"/>
        <v>5.8566002926919367E-2</v>
      </c>
      <c r="BO187" s="147">
        <f t="shared" si="286"/>
        <v>52.510759228856358</v>
      </c>
      <c r="BP187" s="153">
        <f t="shared" si="287"/>
        <v>3.0800000000000008E-2</v>
      </c>
      <c r="BQ187" s="153">
        <f t="shared" si="288"/>
        <v>3.0800000000000008E-2</v>
      </c>
      <c r="BR187" s="463"/>
      <c r="BT187" s="147">
        <f t="shared" si="289"/>
        <v>61.600000000000016</v>
      </c>
      <c r="BU187" s="463">
        <f t="shared" si="290"/>
        <v>9.4916905189095013E-2</v>
      </c>
      <c r="BV187" s="463">
        <f t="shared" si="291"/>
        <v>5.4807679336850476E-2</v>
      </c>
      <c r="BW187" s="463">
        <f t="shared" si="292"/>
        <v>3.4157448527684996E-3</v>
      </c>
      <c r="BX187" s="463">
        <f t="shared" si="293"/>
        <v>0</v>
      </c>
      <c r="BY187" s="463">
        <f t="shared" si="274"/>
        <v>0.17364452731275865</v>
      </c>
      <c r="BZ187" s="463">
        <f t="shared" si="250"/>
        <v>0.153140329378714</v>
      </c>
      <c r="CA187" s="549">
        <f t="shared" si="331"/>
        <v>4.2712607335092752E-2</v>
      </c>
      <c r="CB187" s="147">
        <f t="shared" si="294"/>
        <v>522.63779340527935</v>
      </c>
      <c r="CC187" s="153">
        <f t="shared" si="251"/>
        <v>0.33652313757477076</v>
      </c>
      <c r="CD187" s="5">
        <f t="shared" si="295"/>
        <v>2.7720000000000002</v>
      </c>
      <c r="CE187" s="153">
        <f t="shared" si="296"/>
        <v>0.89174179419577304</v>
      </c>
      <c r="CF187" s="5">
        <f t="shared" si="297"/>
        <v>89.1741794195773</v>
      </c>
      <c r="CG187">
        <f t="shared" si="298"/>
        <v>77.000000000000014</v>
      </c>
      <c r="CI187" s="59">
        <f t="shared" si="332"/>
        <v>-50</v>
      </c>
      <c r="CJ187">
        <f t="shared" si="333"/>
        <v>-50</v>
      </c>
    </row>
    <row r="188" spans="5:88" x14ac:dyDescent="0.25">
      <c r="E188" s="150">
        <v>78</v>
      </c>
      <c r="F188" s="191">
        <f t="shared" si="334"/>
        <v>7.8000000000000014E-2</v>
      </c>
      <c r="G188" s="191">
        <f t="shared" si="299"/>
        <v>7.8000000000000014E-2</v>
      </c>
      <c r="H188" s="191">
        <f t="shared" si="300"/>
        <v>1.5600000000000003</v>
      </c>
      <c r="I188" s="191">
        <f t="shared" si="301"/>
        <v>1.2480000000000002</v>
      </c>
      <c r="J188" s="472">
        <f t="shared" si="302"/>
        <v>9</v>
      </c>
      <c r="K188" s="386">
        <f t="shared" si="303"/>
        <v>15.313703431629758</v>
      </c>
      <c r="L188" s="386">
        <f t="shared" si="304"/>
        <v>29.32</v>
      </c>
      <c r="M188" s="386"/>
      <c r="N188" s="191">
        <f t="shared" si="305"/>
        <v>0.69304229195088674</v>
      </c>
      <c r="O188" s="152">
        <f t="shared" si="306"/>
        <v>1.1695088676671213</v>
      </c>
      <c r="P188" s="152">
        <f t="shared" si="307"/>
        <v>1.6840927694406547</v>
      </c>
      <c r="Q188" s="191">
        <f t="shared" si="308"/>
        <v>5.8475443383356064E-2</v>
      </c>
      <c r="R188" s="191">
        <f t="shared" si="309"/>
        <v>7.3094304229195078E-2</v>
      </c>
      <c r="S188" s="191">
        <f t="shared" si="310"/>
        <v>14.993703431629758</v>
      </c>
      <c r="T188" s="191">
        <f t="shared" si="311"/>
        <v>0.75</v>
      </c>
      <c r="U188" s="191">
        <f t="shared" si="312"/>
        <v>12.499999999999998</v>
      </c>
      <c r="V188" s="191">
        <f t="shared" si="313"/>
        <v>7.3463614142896594</v>
      </c>
      <c r="W188" s="175">
        <f t="shared" si="314"/>
        <v>251.93534953968594</v>
      </c>
      <c r="X188" s="386">
        <f t="shared" si="315"/>
        <v>50.387069907937182</v>
      </c>
      <c r="Z188" s="191">
        <f t="shared" si="316"/>
        <v>0.15</v>
      </c>
      <c r="AA188" s="153">
        <f t="shared" si="317"/>
        <v>1.4692722828579319</v>
      </c>
      <c r="AB188" s="153">
        <f t="shared" si="318"/>
        <v>1.5423401089616059E-2</v>
      </c>
      <c r="AC188" s="153"/>
      <c r="AD188" s="153">
        <f t="shared" si="319"/>
        <v>1.4692722828579319</v>
      </c>
      <c r="AE188" s="317">
        <f t="shared" si="320"/>
        <v>707.83340306199784</v>
      </c>
      <c r="AF188" s="463">
        <f t="shared" si="321"/>
        <v>2.7762121961308905E-2</v>
      </c>
      <c r="AH188" s="153">
        <f t="shared" si="322"/>
        <v>0.32706486905723858</v>
      </c>
      <c r="AI188" s="153">
        <f t="shared" si="323"/>
        <v>0.75</v>
      </c>
      <c r="AJ188" s="153">
        <f t="shared" si="324"/>
        <v>1.6444444444444444</v>
      </c>
      <c r="AL188" s="317">
        <f t="shared" si="325"/>
        <v>78.000000000000014</v>
      </c>
      <c r="AM188" s="147">
        <f t="shared" si="326"/>
        <v>50.387069907937182</v>
      </c>
      <c r="AO188" t="str">
        <f t="shared" si="327"/>
        <v/>
      </c>
      <c r="AP188" t="str">
        <f t="shared" si="328"/>
        <v/>
      </c>
      <c r="AR188" s="5">
        <f t="shared" si="249"/>
        <v>19.846361414289657</v>
      </c>
      <c r="AS188" s="5">
        <f t="shared" si="335"/>
        <v>12.499999999999998</v>
      </c>
      <c r="AT188" s="5">
        <f t="shared" si="336"/>
        <v>7.3463614142896585</v>
      </c>
      <c r="AU188" s="153">
        <f t="shared" si="337"/>
        <v>0.62983837384921471</v>
      </c>
      <c r="AW188" s="5">
        <f t="shared" si="275"/>
        <v>4.8750000000000009</v>
      </c>
      <c r="AX188" s="5"/>
      <c r="AY188" s="5">
        <f t="shared" si="276"/>
        <v>6.09375</v>
      </c>
      <c r="AZ188" s="5"/>
      <c r="BA188" s="5">
        <f t="shared" si="277"/>
        <v>1.4148547909002307</v>
      </c>
      <c r="BB188" s="5"/>
      <c r="BC188" s="5"/>
      <c r="BD188" s="153">
        <f t="shared" si="278"/>
        <v>0.34364908714665277</v>
      </c>
      <c r="BE188" s="153">
        <f t="shared" si="279"/>
        <v>0.26344886582270999</v>
      </c>
      <c r="BF188" s="153">
        <f t="shared" si="280"/>
        <v>0.26241573301556209</v>
      </c>
      <c r="BG188" s="153"/>
      <c r="BH188" s="463">
        <f t="shared" si="281"/>
        <v>4.1333143283854713E-2</v>
      </c>
      <c r="BI188" s="463">
        <f t="shared" si="282"/>
        <v>5.5400583363776935E-3</v>
      </c>
      <c r="BJ188" s="463">
        <f t="shared" si="283"/>
        <v>6.2983837384921479E-4</v>
      </c>
      <c r="BK188" s="463">
        <f t="shared" si="284"/>
        <v>2.1657934723012533E-3</v>
      </c>
      <c r="BL188">
        <f t="shared" si="285"/>
        <v>2.6099999999999999E-3</v>
      </c>
      <c r="BM188">
        <f t="shared" si="329"/>
        <v>5.0387069907937182E-7</v>
      </c>
      <c r="BN188">
        <f t="shared" si="330"/>
        <v>5.8303935447750185E-2</v>
      </c>
      <c r="BO188" s="147">
        <f t="shared" si="286"/>
        <v>52.278833466382878</v>
      </c>
      <c r="BP188" s="153">
        <f t="shared" si="287"/>
        <v>3.1200000000000006E-2</v>
      </c>
      <c r="BQ188" s="153">
        <f t="shared" si="288"/>
        <v>3.1200000000000006E-2</v>
      </c>
      <c r="BR188" s="463"/>
      <c r="BT188" s="147">
        <f t="shared" si="289"/>
        <v>62.400000000000013</v>
      </c>
      <c r="BU188" s="463">
        <f t="shared" si="290"/>
        <v>9.4475756077382206E-2</v>
      </c>
      <c r="BV188" s="463">
        <f t="shared" si="291"/>
        <v>5.5246622703004712E-2</v>
      </c>
      <c r="BW188" s="463">
        <f t="shared" si="292"/>
        <v>3.4431008467047382E-3</v>
      </c>
      <c r="BX188" s="463">
        <f t="shared" si="293"/>
        <v>0</v>
      </c>
      <c r="BY188" s="463">
        <f t="shared" si="274"/>
        <v>0.17367339873560717</v>
      </c>
      <c r="BZ188" s="463">
        <f t="shared" si="250"/>
        <v>0.15316547962709165</v>
      </c>
      <c r="CA188" s="549">
        <f t="shared" si="331"/>
        <v>4.2514090234821993E-2</v>
      </c>
      <c r="CB188" s="147">
        <f t="shared" si="294"/>
        <v>522.51844822461248</v>
      </c>
      <c r="CC188" s="153">
        <f t="shared" si="251"/>
        <v>0.33689142441817937</v>
      </c>
      <c r="CD188" s="5">
        <f t="shared" si="295"/>
        <v>2.8080000000000007</v>
      </c>
      <c r="CE188" s="153">
        <f t="shared" si="296"/>
        <v>0.89287661195473356</v>
      </c>
      <c r="CF188" s="5">
        <f t="shared" si="297"/>
        <v>89.287661195473362</v>
      </c>
      <c r="CG188">
        <f t="shared" si="298"/>
        <v>78.000000000000014</v>
      </c>
      <c r="CI188" s="59">
        <f t="shared" si="332"/>
        <v>-50</v>
      </c>
      <c r="CJ188">
        <f t="shared" si="333"/>
        <v>-50</v>
      </c>
    </row>
    <row r="189" spans="5:88" x14ac:dyDescent="0.25">
      <c r="E189" s="150">
        <v>79</v>
      </c>
      <c r="F189" s="191">
        <f t="shared" si="334"/>
        <v>7.9000000000000015E-2</v>
      </c>
      <c r="G189" s="191">
        <f t="shared" si="299"/>
        <v>7.9000000000000015E-2</v>
      </c>
      <c r="H189" s="191">
        <f t="shared" si="300"/>
        <v>1.5800000000000003</v>
      </c>
      <c r="I189" s="191">
        <f t="shared" si="301"/>
        <v>1.2640000000000002</v>
      </c>
      <c r="J189" s="472">
        <f t="shared" si="302"/>
        <v>9</v>
      </c>
      <c r="K189" s="386">
        <f t="shared" si="303"/>
        <v>15.123909717305329</v>
      </c>
      <c r="L189" s="386">
        <f t="shared" si="304"/>
        <v>29.32</v>
      </c>
      <c r="M189" s="386"/>
      <c r="N189" s="191">
        <f t="shared" si="305"/>
        <v>0.69304229195088674</v>
      </c>
      <c r="O189" s="152">
        <f t="shared" si="306"/>
        <v>1.1695088676671213</v>
      </c>
      <c r="P189" s="152">
        <f t="shared" si="307"/>
        <v>1.6840927694406547</v>
      </c>
      <c r="Q189" s="191">
        <f t="shared" si="308"/>
        <v>5.8475443383356064E-2</v>
      </c>
      <c r="R189" s="191">
        <f t="shared" si="309"/>
        <v>7.3094304229195078E-2</v>
      </c>
      <c r="S189" s="191">
        <f t="shared" si="310"/>
        <v>14.803909717305329</v>
      </c>
      <c r="T189" s="191">
        <f t="shared" si="311"/>
        <v>0.75</v>
      </c>
      <c r="U189" s="191">
        <f t="shared" si="312"/>
        <v>12.499999999999998</v>
      </c>
      <c r="V189" s="191">
        <f t="shared" si="313"/>
        <v>7.4385527355584111</v>
      </c>
      <c r="W189" s="175">
        <f t="shared" si="314"/>
        <v>250.77045793213472</v>
      </c>
      <c r="X189" s="386">
        <f t="shared" si="315"/>
        <v>50.154091586426944</v>
      </c>
      <c r="Z189" s="191">
        <f t="shared" si="316"/>
        <v>0.15000000000000002</v>
      </c>
      <c r="AA189" s="153">
        <f t="shared" si="317"/>
        <v>1.4877105471116823</v>
      </c>
      <c r="AB189" s="153">
        <f t="shared" si="318"/>
        <v>1.5544743965402638E-2</v>
      </c>
      <c r="AC189" s="153"/>
      <c r="AD189" s="153">
        <f t="shared" si="319"/>
        <v>1.487710547111682</v>
      </c>
      <c r="AE189" s="317">
        <f t="shared" si="320"/>
        <v>708.02303269162746</v>
      </c>
      <c r="AF189" s="463">
        <f t="shared" si="321"/>
        <v>2.798053913772474E-2</v>
      </c>
      <c r="AH189" s="153">
        <f t="shared" si="322"/>
        <v>0.32915476168947816</v>
      </c>
      <c r="AI189" s="153">
        <f t="shared" si="323"/>
        <v>0.75</v>
      </c>
      <c r="AJ189" s="153">
        <f t="shared" si="324"/>
        <v>1.6444444444444444</v>
      </c>
      <c r="AL189" s="317">
        <f t="shared" si="325"/>
        <v>79.000000000000014</v>
      </c>
      <c r="AM189" s="147">
        <f t="shared" si="326"/>
        <v>50.154091586426944</v>
      </c>
      <c r="AO189" t="str">
        <f t="shared" si="327"/>
        <v/>
      </c>
      <c r="AP189" t="str">
        <f t="shared" si="328"/>
        <v/>
      </c>
      <c r="AR189" s="5">
        <f t="shared" si="249"/>
        <v>19.93855273555841</v>
      </c>
      <c r="AS189" s="5">
        <f t="shared" si="335"/>
        <v>12.499999999999998</v>
      </c>
      <c r="AT189" s="5">
        <f t="shared" si="336"/>
        <v>7.438552735558412</v>
      </c>
      <c r="AU189" s="153">
        <f t="shared" si="337"/>
        <v>0.62692614483033671</v>
      </c>
      <c r="AW189" s="5">
        <f t="shared" si="275"/>
        <v>4.9375</v>
      </c>
      <c r="AX189" s="5"/>
      <c r="AY189" s="5">
        <f t="shared" si="276"/>
        <v>6.171875</v>
      </c>
      <c r="AZ189" s="5"/>
      <c r="BA189" s="5">
        <f t="shared" si="277"/>
        <v>1.4509769533558385</v>
      </c>
      <c r="BB189" s="5"/>
      <c r="BC189" s="5"/>
      <c r="BD189" s="153">
        <f t="shared" si="278"/>
        <v>0.34285368913822134</v>
      </c>
      <c r="BE189" s="153">
        <f t="shared" si="279"/>
        <v>0.26448317119301157</v>
      </c>
      <c r="BF189" s="153">
        <f t="shared" si="280"/>
        <v>0.26344598228637234</v>
      </c>
      <c r="BG189" s="153"/>
      <c r="BH189" s="463">
        <f t="shared" si="281"/>
        <v>4.1142028254490842E-2</v>
      </c>
      <c r="BI189" s="463">
        <f t="shared" si="282"/>
        <v>5.5144423699276428E-3</v>
      </c>
      <c r="BJ189" s="463">
        <f t="shared" si="283"/>
        <v>6.2692614483033672E-4</v>
      </c>
      <c r="BK189" s="463">
        <f t="shared" si="284"/>
        <v>2.1557793371503801E-3</v>
      </c>
      <c r="BL189">
        <f t="shared" si="285"/>
        <v>2.6099999999999999E-3</v>
      </c>
      <c r="BM189">
        <f t="shared" si="329"/>
        <v>5.015409158642695E-7</v>
      </c>
      <c r="BN189">
        <f t="shared" si="330"/>
        <v>5.8044449710628374E-2</v>
      </c>
      <c r="BO189" s="147">
        <f t="shared" si="286"/>
        <v>52.049176106399202</v>
      </c>
      <c r="BP189" s="153">
        <f t="shared" si="287"/>
        <v>3.160000000000001E-2</v>
      </c>
      <c r="BQ189" s="153">
        <f t="shared" si="288"/>
        <v>3.160000000000001E-2</v>
      </c>
      <c r="BR189" s="463"/>
      <c r="BT189" s="147">
        <f t="shared" si="289"/>
        <v>63.200000000000017</v>
      </c>
      <c r="BU189" s="463">
        <f t="shared" si="290"/>
        <v>9.40389217245505E-2</v>
      </c>
      <c r="BV189" s="463">
        <f t="shared" si="291"/>
        <v>5.568127288407225E-2</v>
      </c>
      <c r="BW189" s="463">
        <f t="shared" si="292"/>
        <v>3.4701892791415808E-3</v>
      </c>
      <c r="BX189" s="463">
        <f t="shared" si="293"/>
        <v>0</v>
      </c>
      <c r="BY189" s="463">
        <f t="shared" si="274"/>
        <v>0.17370198789086158</v>
      </c>
      <c r="BZ189" s="463">
        <f t="shared" si="250"/>
        <v>0.15319038388776432</v>
      </c>
      <c r="CA189" s="549">
        <f t="shared" si="331"/>
        <v>4.2317514776047734E-2</v>
      </c>
      <c r="CB189" s="147">
        <f t="shared" si="294"/>
        <v>522.400270442438</v>
      </c>
      <c r="CC189" s="153">
        <f t="shared" si="251"/>
        <v>0.3372639523775377</v>
      </c>
      <c r="CD189" s="5">
        <f t="shared" si="295"/>
        <v>2.8440000000000003</v>
      </c>
      <c r="CE189" s="153">
        <f t="shared" si="296"/>
        <v>0.89398429133002888</v>
      </c>
      <c r="CF189" s="5">
        <f t="shared" si="297"/>
        <v>89.398429133002892</v>
      </c>
      <c r="CG189">
        <f t="shared" si="298"/>
        <v>79.000000000000014</v>
      </c>
      <c r="CI189" s="59">
        <f t="shared" si="332"/>
        <v>-50</v>
      </c>
      <c r="CJ189">
        <f t="shared" si="333"/>
        <v>-50</v>
      </c>
    </row>
    <row r="190" spans="5:88" x14ac:dyDescent="0.25">
      <c r="E190" s="150">
        <v>80</v>
      </c>
      <c r="F190" s="191">
        <f t="shared" si="334"/>
        <v>8.0000000000000016E-2</v>
      </c>
      <c r="G190" s="191">
        <f t="shared" si="299"/>
        <v>8.0000000000000016E-2</v>
      </c>
      <c r="H190" s="191">
        <f t="shared" si="300"/>
        <v>1.6000000000000003</v>
      </c>
      <c r="I190" s="191">
        <f t="shared" si="301"/>
        <v>1.2800000000000002</v>
      </c>
      <c r="J190" s="472">
        <f t="shared" si="302"/>
        <v>9</v>
      </c>
      <c r="K190" s="386">
        <f t="shared" si="303"/>
        <v>14.938860845839013</v>
      </c>
      <c r="L190" s="386">
        <f t="shared" si="304"/>
        <v>29.32</v>
      </c>
      <c r="M190" s="386"/>
      <c r="N190" s="191">
        <f t="shared" si="305"/>
        <v>0.69304229195088674</v>
      </c>
      <c r="O190" s="152">
        <f t="shared" si="306"/>
        <v>1.1695088676671213</v>
      </c>
      <c r="P190" s="152">
        <f t="shared" si="307"/>
        <v>1.6840927694406547</v>
      </c>
      <c r="Q190" s="191">
        <f t="shared" si="308"/>
        <v>5.8475443383356064E-2</v>
      </c>
      <c r="R190" s="191">
        <f t="shared" si="309"/>
        <v>7.3094304229195078E-2</v>
      </c>
      <c r="S190" s="191">
        <f t="shared" si="310"/>
        <v>14.618860845839013</v>
      </c>
      <c r="T190" s="191">
        <f t="shared" si="311"/>
        <v>0.75</v>
      </c>
      <c r="U190" s="191">
        <f t="shared" si="312"/>
        <v>12.499999999999998</v>
      </c>
      <c r="V190" s="191">
        <f t="shared" si="313"/>
        <v>7.5306946868934199</v>
      </c>
      <c r="W190" s="175">
        <f t="shared" si="314"/>
        <v>249.61690436386235</v>
      </c>
      <c r="X190" s="386">
        <f t="shared" si="315"/>
        <v>49.923380872772469</v>
      </c>
      <c r="Z190" s="191">
        <f t="shared" si="316"/>
        <v>0.15</v>
      </c>
      <c r="AA190" s="153">
        <f t="shared" si="317"/>
        <v>1.5061389373786838</v>
      </c>
      <c r="AB190" s="153">
        <f t="shared" si="318"/>
        <v>1.5664905795431009E-2</v>
      </c>
      <c r="AC190" s="153"/>
      <c r="AD190" s="153">
        <f t="shared" si="319"/>
        <v>1.5061389373786838</v>
      </c>
      <c r="AE190" s="317">
        <f t="shared" si="320"/>
        <v>708.2126623212572</v>
      </c>
      <c r="AF190" s="463">
        <f t="shared" si="321"/>
        <v>2.8196830431775812E-2</v>
      </c>
      <c r="AH190" s="153">
        <f t="shared" si="322"/>
        <v>0.3312314684843301</v>
      </c>
      <c r="AI190" s="153">
        <f t="shared" si="323"/>
        <v>0.75</v>
      </c>
      <c r="AJ190" s="153">
        <f t="shared" si="324"/>
        <v>1.6444444444444444</v>
      </c>
      <c r="AL190" s="317">
        <f t="shared" si="325"/>
        <v>80.000000000000014</v>
      </c>
      <c r="AM190" s="147">
        <f t="shared" si="326"/>
        <v>49.923380872772469</v>
      </c>
      <c r="AO190" t="str">
        <f t="shared" si="327"/>
        <v/>
      </c>
      <c r="AP190" t="str">
        <f t="shared" si="328"/>
        <v/>
      </c>
      <c r="AR190" s="5">
        <f t="shared" si="249"/>
        <v>20.030694686893419</v>
      </c>
      <c r="AS190" s="5">
        <f t="shared" si="335"/>
        <v>12.499999999999998</v>
      </c>
      <c r="AT190" s="5">
        <f t="shared" si="336"/>
        <v>7.5306946868934208</v>
      </c>
      <c r="AU190" s="153">
        <f t="shared" si="337"/>
        <v>0.62404226090965575</v>
      </c>
      <c r="AW190" s="5">
        <f t="shared" si="275"/>
        <v>5</v>
      </c>
      <c r="AX190" s="5"/>
      <c r="AY190" s="5">
        <f t="shared" si="276"/>
        <v>6.25</v>
      </c>
      <c r="AZ190" s="5"/>
      <c r="BA190" s="5">
        <f t="shared" si="277"/>
        <v>1.4875446295098118</v>
      </c>
      <c r="BB190" s="5"/>
      <c r="BC190" s="5"/>
      <c r="BD190" s="153">
        <f t="shared" si="278"/>
        <v>0.34206421023041922</v>
      </c>
      <c r="BE190" s="153">
        <f t="shared" si="279"/>
        <v>0.26550343892205908</v>
      </c>
      <c r="BF190" s="153">
        <f t="shared" si="280"/>
        <v>0.26446224896550197</v>
      </c>
      <c r="BG190" s="153"/>
      <c r="BH190" s="463">
        <f t="shared" si="281"/>
        <v>4.0952773372196147E-2</v>
      </c>
      <c r="BI190" s="463">
        <f t="shared" si="282"/>
        <v>5.4890757269613344E-3</v>
      </c>
      <c r="BJ190" s="463">
        <f t="shared" si="283"/>
        <v>6.2404226090965586E-4</v>
      </c>
      <c r="BK190" s="463">
        <f t="shared" si="284"/>
        <v>2.1458626708600842E-3</v>
      </c>
      <c r="BL190">
        <f t="shared" si="285"/>
        <v>2.6099999999999999E-3</v>
      </c>
      <c r="BM190">
        <f t="shared" si="329"/>
        <v>4.992338087277247E-7</v>
      </c>
      <c r="BN190">
        <f t="shared" si="330"/>
        <v>5.778750775173775E-2</v>
      </c>
      <c r="BO190" s="147">
        <f t="shared" si="286"/>
        <v>51.821754030927217</v>
      </c>
      <c r="BP190" s="153">
        <f t="shared" si="287"/>
        <v>3.2000000000000008E-2</v>
      </c>
      <c r="BQ190" s="153">
        <f t="shared" si="288"/>
        <v>3.2000000000000008E-2</v>
      </c>
      <c r="BR190" s="463"/>
      <c r="BT190" s="147">
        <f t="shared" si="289"/>
        <v>64.000000000000014</v>
      </c>
      <c r="BU190" s="463">
        <f t="shared" si="290"/>
        <v>9.3606339136448349E-2</v>
      </c>
      <c r="BV190" s="463">
        <f t="shared" si="291"/>
        <v>5.6111692559233886E-2</v>
      </c>
      <c r="BW190" s="463">
        <f t="shared" si="292"/>
        <v>3.4970140563945575E-3</v>
      </c>
      <c r="BX190" s="463">
        <f t="shared" si="293"/>
        <v>0</v>
      </c>
      <c r="BY190" s="463">
        <f t="shared" si="274"/>
        <v>0.1737302988978586</v>
      </c>
      <c r="BZ190" s="463">
        <f t="shared" si="250"/>
        <v>0.15321504575207678</v>
      </c>
      <c r="CA190" s="549">
        <f t="shared" si="331"/>
        <v>4.2122852611401772E-2</v>
      </c>
      <c r="CB190" s="147">
        <f t="shared" si="294"/>
        <v>522.28324301341399</v>
      </c>
      <c r="CC190" s="153">
        <f t="shared" si="251"/>
        <v>0.33764065926099812</v>
      </c>
      <c r="CD190" s="5">
        <f t="shared" si="295"/>
        <v>2.8536016371077757</v>
      </c>
      <c r="CE190" s="153">
        <f t="shared" si="296"/>
        <v>0.89419773620912768</v>
      </c>
      <c r="CF190" s="5">
        <f t="shared" si="297"/>
        <v>89.419773620912764</v>
      </c>
      <c r="CG190">
        <f t="shared" si="298"/>
        <v>80.000000000000014</v>
      </c>
      <c r="CI190" s="59">
        <f t="shared" si="332"/>
        <v>-50</v>
      </c>
      <c r="CJ190">
        <f t="shared" si="333"/>
        <v>-50</v>
      </c>
    </row>
    <row r="191" spans="5:88" x14ac:dyDescent="0.25">
      <c r="E191" s="150">
        <v>81</v>
      </c>
      <c r="F191" s="191">
        <f t="shared" si="334"/>
        <v>8.1000000000000016E-2</v>
      </c>
      <c r="G191" s="191">
        <f t="shared" si="299"/>
        <v>8.1000000000000016E-2</v>
      </c>
      <c r="H191" s="191">
        <f t="shared" si="300"/>
        <v>1.6200000000000003</v>
      </c>
      <c r="I191" s="191">
        <f t="shared" si="301"/>
        <v>1.2960000000000003</v>
      </c>
      <c r="J191" s="472">
        <f t="shared" si="302"/>
        <v>9</v>
      </c>
      <c r="K191" s="386">
        <f t="shared" si="303"/>
        <v>14.758381082310136</v>
      </c>
      <c r="L191" s="386">
        <f t="shared" si="304"/>
        <v>29.32</v>
      </c>
      <c r="M191" s="386"/>
      <c r="N191" s="191">
        <f t="shared" si="305"/>
        <v>0.69304229195088674</v>
      </c>
      <c r="O191" s="152">
        <f t="shared" si="306"/>
        <v>1.1695088676671213</v>
      </c>
      <c r="P191" s="152">
        <f t="shared" si="307"/>
        <v>1.6840927694406547</v>
      </c>
      <c r="Q191" s="191">
        <f t="shared" si="308"/>
        <v>5.8475443383356064E-2</v>
      </c>
      <c r="R191" s="191">
        <f t="shared" si="309"/>
        <v>7.3094304229195078E-2</v>
      </c>
      <c r="S191" s="191">
        <f t="shared" si="310"/>
        <v>14.438381082310135</v>
      </c>
      <c r="T191" s="191">
        <f t="shared" si="311"/>
        <v>0.75</v>
      </c>
      <c r="U191" s="191">
        <f t="shared" si="312"/>
        <v>12.499999999999998</v>
      </c>
      <c r="V191" s="191">
        <f t="shared" si="313"/>
        <v>7.6227873079416604</v>
      </c>
      <c r="W191" s="175">
        <f t="shared" si="314"/>
        <v>248.47452410465525</v>
      </c>
      <c r="X191" s="386">
        <f t="shared" si="315"/>
        <v>49.69490482093105</v>
      </c>
      <c r="Z191" s="191">
        <f t="shared" si="316"/>
        <v>0.15000000000000002</v>
      </c>
      <c r="AA191" s="153">
        <f t="shared" si="317"/>
        <v>1.5245574615883322</v>
      </c>
      <c r="AB191" s="153">
        <f t="shared" si="318"/>
        <v>1.5783903739098423E-2</v>
      </c>
      <c r="AC191" s="153"/>
      <c r="AD191" s="153">
        <f t="shared" si="319"/>
        <v>1.5245574615883319</v>
      </c>
      <c r="AE191" s="317">
        <f t="shared" si="320"/>
        <v>708.40229195088671</v>
      </c>
      <c r="AF191" s="463">
        <f t="shared" si="321"/>
        <v>2.8411026730377147E-2</v>
      </c>
      <c r="AH191" s="153">
        <f t="shared" si="322"/>
        <v>0.33329523591811855</v>
      </c>
      <c r="AI191" s="153">
        <f t="shared" si="323"/>
        <v>0.75</v>
      </c>
      <c r="AJ191" s="153">
        <f t="shared" si="324"/>
        <v>1.6444444444444444</v>
      </c>
      <c r="AL191" s="317">
        <f t="shared" si="325"/>
        <v>81.000000000000014</v>
      </c>
      <c r="AM191" s="147">
        <f t="shared" si="326"/>
        <v>49.69490482093105</v>
      </c>
      <c r="AO191" t="str">
        <f t="shared" si="327"/>
        <v/>
      </c>
      <c r="AP191" t="str">
        <f t="shared" si="328"/>
        <v/>
      </c>
      <c r="AR191" s="5">
        <f t="shared" si="249"/>
        <v>20.122787307941657</v>
      </c>
      <c r="AS191" s="5">
        <f t="shared" si="335"/>
        <v>12.499999999999998</v>
      </c>
      <c r="AT191" s="5">
        <f t="shared" si="336"/>
        <v>7.6227873079416586</v>
      </c>
      <c r="AU191" s="153">
        <f t="shared" si="337"/>
        <v>0.62118631026163806</v>
      </c>
      <c r="AW191" s="5">
        <f t="shared" si="275"/>
        <v>5.0625</v>
      </c>
      <c r="AX191" s="5"/>
      <c r="AY191" s="5">
        <f t="shared" si="276"/>
        <v>6.3281249999999991</v>
      </c>
      <c r="AZ191" s="5"/>
      <c r="BA191" s="5">
        <f t="shared" si="277"/>
        <v>1.5245574615883319</v>
      </c>
      <c r="BB191" s="5"/>
      <c r="BC191" s="5"/>
      <c r="BD191" s="153">
        <f t="shared" si="278"/>
        <v>0.34128057837219089</v>
      </c>
      <c r="BE191" s="153">
        <f t="shared" si="279"/>
        <v>0.26650997509651086</v>
      </c>
      <c r="BF191" s="153">
        <f t="shared" si="280"/>
        <v>0.26546483793926967</v>
      </c>
      <c r="BG191" s="153"/>
      <c r="BH191" s="463">
        <f t="shared" si="281"/>
        <v>4.0765351610919993E-2</v>
      </c>
      <c r="BI191" s="463">
        <f t="shared" si="282"/>
        <v>5.4639547850613692E-3</v>
      </c>
      <c r="BJ191" s="463">
        <f t="shared" si="283"/>
        <v>6.2118631026163813E-4</v>
      </c>
      <c r="BK191" s="463">
        <f t="shared" si="284"/>
        <v>2.136042057306658E-3</v>
      </c>
      <c r="BL191">
        <f t="shared" si="285"/>
        <v>2.6099999999999999E-3</v>
      </c>
      <c r="BM191">
        <f t="shared" si="329"/>
        <v>4.9694904820931052E-7</v>
      </c>
      <c r="BN191">
        <f t="shared" si="330"/>
        <v>5.7533072347961713E-2</v>
      </c>
      <c r="BO191" s="147">
        <f t="shared" si="286"/>
        <v>51.596534763549663</v>
      </c>
      <c r="BP191" s="153">
        <f t="shared" si="287"/>
        <v>3.2400000000000005E-2</v>
      </c>
      <c r="BQ191" s="153">
        <f t="shared" si="288"/>
        <v>3.2400000000000005E-2</v>
      </c>
      <c r="BR191" s="463"/>
      <c r="BT191" s="147">
        <f t="shared" si="289"/>
        <v>64.800000000000011</v>
      </c>
      <c r="BU191" s="463">
        <f t="shared" si="290"/>
        <v>9.3177946539245715E-2</v>
      </c>
      <c r="BV191" s="463">
        <f t="shared" si="291"/>
        <v>5.6537943193450506E-2</v>
      </c>
      <c r="BW191" s="463">
        <f t="shared" si="292"/>
        <v>3.5235790091061358E-3</v>
      </c>
      <c r="BX191" s="463">
        <f t="shared" si="293"/>
        <v>0</v>
      </c>
      <c r="BY191" s="463">
        <f t="shared" si="274"/>
        <v>0.17375833579616781</v>
      </c>
      <c r="BZ191" s="463">
        <f t="shared" si="250"/>
        <v>0.15323946874180236</v>
      </c>
      <c r="CA191" s="549">
        <f t="shared" si="331"/>
        <v>4.1930075942660572E-2</v>
      </c>
      <c r="CB191" s="147">
        <f t="shared" si="294"/>
        <v>522.16734922243302</v>
      </c>
      <c r="CC191" s="153">
        <f t="shared" si="251"/>
        <v>0.33802148408679011</v>
      </c>
      <c r="CD191" s="5">
        <f t="shared" si="295"/>
        <v>2.8536016371077757</v>
      </c>
      <c r="CE191" s="153">
        <f t="shared" si="296"/>
        <v>0.89409104043579091</v>
      </c>
      <c r="CF191" s="5">
        <f t="shared" si="297"/>
        <v>89.409104043579092</v>
      </c>
      <c r="CG191">
        <f t="shared" si="298"/>
        <v>81.000000000000014</v>
      </c>
      <c r="CI191" s="59">
        <f t="shared" si="332"/>
        <v>-50</v>
      </c>
      <c r="CJ191">
        <f t="shared" si="333"/>
        <v>-50</v>
      </c>
    </row>
    <row r="192" spans="5:88" x14ac:dyDescent="0.25">
      <c r="E192" s="150">
        <v>82</v>
      </c>
      <c r="F192" s="191">
        <f t="shared" si="334"/>
        <v>8.2000000000000003E-2</v>
      </c>
      <c r="G192" s="191">
        <f t="shared" si="299"/>
        <v>8.2000000000000003E-2</v>
      </c>
      <c r="H192" s="191">
        <f t="shared" si="300"/>
        <v>1.6400000000000001</v>
      </c>
      <c r="I192" s="191">
        <f t="shared" si="301"/>
        <v>1.3120000000000001</v>
      </c>
      <c r="J192" s="472">
        <f t="shared" si="302"/>
        <v>9</v>
      </c>
      <c r="K192" s="386">
        <f t="shared" si="303"/>
        <v>14.582303264233186</v>
      </c>
      <c r="L192" s="386">
        <f t="shared" si="304"/>
        <v>29.32</v>
      </c>
      <c r="M192" s="386"/>
      <c r="N192" s="191">
        <f t="shared" si="305"/>
        <v>0.69304229195088674</v>
      </c>
      <c r="O192" s="152">
        <f t="shared" si="306"/>
        <v>1.1695088676671213</v>
      </c>
      <c r="P192" s="152">
        <f t="shared" si="307"/>
        <v>1.6840927694406547</v>
      </c>
      <c r="Q192" s="191">
        <f t="shared" si="308"/>
        <v>5.8475443383356064E-2</v>
      </c>
      <c r="R192" s="191">
        <f t="shared" si="309"/>
        <v>7.3094304229195078E-2</v>
      </c>
      <c r="S192" s="191">
        <f t="shared" si="310"/>
        <v>14.262303264233186</v>
      </c>
      <c r="T192" s="191">
        <f t="shared" si="311"/>
        <v>0.75</v>
      </c>
      <c r="U192" s="191">
        <f t="shared" si="312"/>
        <v>12.499999999999998</v>
      </c>
      <c r="V192" s="191">
        <f t="shared" si="313"/>
        <v>7.714830638307661</v>
      </c>
      <c r="W192" s="175">
        <f t="shared" si="314"/>
        <v>247.34315560007028</v>
      </c>
      <c r="X192" s="386">
        <f t="shared" si="315"/>
        <v>49.468631120014059</v>
      </c>
      <c r="Z192" s="191">
        <f t="shared" si="316"/>
        <v>0.15</v>
      </c>
      <c r="AA192" s="153">
        <f t="shared" si="317"/>
        <v>1.5429661276615321</v>
      </c>
      <c r="AB192" s="153">
        <f t="shared" si="318"/>
        <v>1.5901754624992676E-2</v>
      </c>
      <c r="AC192" s="153"/>
      <c r="AD192" s="153">
        <f t="shared" si="319"/>
        <v>1.5429661276615321</v>
      </c>
      <c r="AE192" s="317">
        <f t="shared" si="320"/>
        <v>708.59192158051633</v>
      </c>
      <c r="AF192" s="463">
        <f t="shared" si="321"/>
        <v>2.8623158324986814E-2</v>
      </c>
      <c r="AH192" s="153">
        <f t="shared" si="322"/>
        <v>0.33534630288277051</v>
      </c>
      <c r="AI192" s="153">
        <f t="shared" si="323"/>
        <v>0.75</v>
      </c>
      <c r="AJ192" s="153">
        <f t="shared" si="324"/>
        <v>1.6444444444444444</v>
      </c>
      <c r="AL192" s="317">
        <f t="shared" si="325"/>
        <v>82</v>
      </c>
      <c r="AM192" s="147">
        <f t="shared" si="326"/>
        <v>49.468631120014059</v>
      </c>
      <c r="AO192" t="str">
        <f t="shared" si="327"/>
        <v/>
      </c>
      <c r="AP192" t="str">
        <f t="shared" si="328"/>
        <v/>
      </c>
      <c r="AR192" s="5">
        <f t="shared" si="249"/>
        <v>20.21483063830766</v>
      </c>
      <c r="AS192" s="5">
        <f t="shared" si="335"/>
        <v>12.499999999999998</v>
      </c>
      <c r="AT192" s="5">
        <f t="shared" si="336"/>
        <v>7.7148306383076619</v>
      </c>
      <c r="AU192" s="153">
        <f t="shared" si="337"/>
        <v>0.61835788900017563</v>
      </c>
      <c r="AW192" s="5">
        <f t="shared" si="275"/>
        <v>5.1249999999999991</v>
      </c>
      <c r="AX192" s="5"/>
      <c r="AY192" s="5">
        <f t="shared" si="276"/>
        <v>6.40625</v>
      </c>
      <c r="AZ192" s="5"/>
      <c r="BA192" s="5">
        <f t="shared" si="277"/>
        <v>1.562015092200564</v>
      </c>
      <c r="BB192" s="5"/>
      <c r="BC192" s="5"/>
      <c r="BD192" s="153">
        <f t="shared" si="278"/>
        <v>0.34050272273145327</v>
      </c>
      <c r="BE192" s="153">
        <f t="shared" si="279"/>
        <v>0.26750307626729652</v>
      </c>
      <c r="BF192" s="153">
        <f t="shared" si="280"/>
        <v>0.26645404459566008</v>
      </c>
      <c r="BG192" s="153"/>
      <c r="BH192" s="463">
        <f t="shared" si="281"/>
        <v>4.0579736465636528E-2</v>
      </c>
      <c r="BI192" s="463">
        <f t="shared" si="282"/>
        <v>5.4390759916455459E-3</v>
      </c>
      <c r="BJ192" s="463">
        <f t="shared" si="283"/>
        <v>6.1835788900017582E-4</v>
      </c>
      <c r="BK192" s="463">
        <f t="shared" si="284"/>
        <v>2.1263161076672987E-3</v>
      </c>
      <c r="BL192">
        <f t="shared" si="285"/>
        <v>2.6099999999999999E-3</v>
      </c>
      <c r="BM192">
        <f t="shared" si="329"/>
        <v>4.9468631120014065E-7</v>
      </c>
      <c r="BN192">
        <f t="shared" si="330"/>
        <v>5.7281106998906414E-2</v>
      </c>
      <c r="BO192" s="147">
        <f t="shared" si="286"/>
        <v>51.373486453949553</v>
      </c>
      <c r="BP192" s="153">
        <f t="shared" si="287"/>
        <v>3.2800000000000003E-2</v>
      </c>
      <c r="BQ192" s="153">
        <f t="shared" si="288"/>
        <v>3.2800000000000003E-2</v>
      </c>
      <c r="BR192" s="463"/>
      <c r="BT192" s="147">
        <f t="shared" si="289"/>
        <v>65.600000000000009</v>
      </c>
      <c r="BU192" s="463">
        <f t="shared" si="290"/>
        <v>9.2753683350026359E-2</v>
      </c>
      <c r="BV192" s="463">
        <f t="shared" si="291"/>
        <v>5.6960085066723787E-2</v>
      </c>
      <c r="BW192" s="463">
        <f t="shared" si="292"/>
        <v>3.5498878940693011E-3</v>
      </c>
      <c r="BX192" s="463">
        <f t="shared" si="293"/>
        <v>0</v>
      </c>
      <c r="BY192" s="463">
        <f t="shared" si="274"/>
        <v>0.17378610254751289</v>
      </c>
      <c r="BZ192" s="463">
        <f t="shared" si="250"/>
        <v>0.15326365631081945</v>
      </c>
      <c r="CA192" s="549">
        <f t="shared" si="331"/>
        <v>4.1739157507511865E-2</v>
      </c>
      <c r="CB192" s="147">
        <f t="shared" si="294"/>
        <v>522.05257267666366</v>
      </c>
      <c r="CC192" s="153">
        <f t="shared" si="251"/>
        <v>0.33840636705393123</v>
      </c>
      <c r="CD192" s="5">
        <f t="shared" si="295"/>
        <v>2.8536016371077757</v>
      </c>
      <c r="CE192" s="153">
        <f t="shared" si="296"/>
        <v>0.89398323355933929</v>
      </c>
      <c r="CF192" s="5">
        <f t="shared" si="297"/>
        <v>89.398323355933925</v>
      </c>
      <c r="CG192">
        <f t="shared" si="298"/>
        <v>82</v>
      </c>
      <c r="CI192" s="59">
        <f t="shared" si="332"/>
        <v>-50</v>
      </c>
      <c r="CJ192">
        <f t="shared" si="333"/>
        <v>-50</v>
      </c>
    </row>
    <row r="193" spans="5:88" x14ac:dyDescent="0.25">
      <c r="E193" s="150">
        <v>83</v>
      </c>
      <c r="F193" s="191">
        <f t="shared" si="334"/>
        <v>8.3000000000000004E-2</v>
      </c>
      <c r="G193" s="191">
        <f t="shared" si="299"/>
        <v>8.3000000000000004E-2</v>
      </c>
      <c r="H193" s="191">
        <f t="shared" si="300"/>
        <v>1.6600000000000001</v>
      </c>
      <c r="I193" s="191">
        <f t="shared" si="301"/>
        <v>1.3280000000000001</v>
      </c>
      <c r="J193" s="472">
        <f t="shared" si="302"/>
        <v>9</v>
      </c>
      <c r="K193" s="386">
        <f t="shared" si="303"/>
        <v>14.410468285146038</v>
      </c>
      <c r="L193" s="386">
        <f t="shared" si="304"/>
        <v>29.32</v>
      </c>
      <c r="M193" s="386"/>
      <c r="N193" s="191">
        <f t="shared" si="305"/>
        <v>0.69304229195088674</v>
      </c>
      <c r="O193" s="152">
        <f t="shared" si="306"/>
        <v>1.1695088676671213</v>
      </c>
      <c r="P193" s="152">
        <f t="shared" si="307"/>
        <v>1.6840927694406547</v>
      </c>
      <c r="Q193" s="191">
        <f t="shared" si="308"/>
        <v>5.8475443383356064E-2</v>
      </c>
      <c r="R193" s="191">
        <f t="shared" si="309"/>
        <v>7.3094304229195078E-2</v>
      </c>
      <c r="S193" s="191">
        <f t="shared" si="310"/>
        <v>14.090468285146038</v>
      </c>
      <c r="T193" s="191">
        <f t="shared" si="311"/>
        <v>0.75</v>
      </c>
      <c r="U193" s="191">
        <f t="shared" si="312"/>
        <v>12.499999999999998</v>
      </c>
      <c r="V193" s="191">
        <f t="shared" si="313"/>
        <v>7.8068247175535772</v>
      </c>
      <c r="W193" s="175">
        <f t="shared" si="314"/>
        <v>246.22264039527127</v>
      </c>
      <c r="X193" s="386">
        <f t="shared" si="315"/>
        <v>49.244528079054255</v>
      </c>
      <c r="Z193" s="191">
        <f t="shared" si="316"/>
        <v>0.15</v>
      </c>
      <c r="AA193" s="153">
        <f t="shared" si="317"/>
        <v>1.5613649435107153</v>
      </c>
      <c r="AB193" s="153">
        <f t="shared" si="318"/>
        <v>1.6018474958825909E-2</v>
      </c>
      <c r="AC193" s="153"/>
      <c r="AD193" s="153">
        <f t="shared" si="319"/>
        <v>1.5613649435107153</v>
      </c>
      <c r="AE193" s="317">
        <f t="shared" si="320"/>
        <v>708.78155121014606</v>
      </c>
      <c r="AF193" s="463">
        <f t="shared" si="321"/>
        <v>2.8833254925886641E-2</v>
      </c>
      <c r="AH193" s="153">
        <f t="shared" si="322"/>
        <v>0.33738490100858315</v>
      </c>
      <c r="AI193" s="153">
        <f t="shared" si="323"/>
        <v>0.75</v>
      </c>
      <c r="AJ193" s="153">
        <f t="shared" si="324"/>
        <v>1.6444444444444444</v>
      </c>
      <c r="AL193" s="317">
        <f t="shared" si="325"/>
        <v>83</v>
      </c>
      <c r="AM193" s="147">
        <f t="shared" si="326"/>
        <v>49.244528079054255</v>
      </c>
      <c r="AO193" t="str">
        <f t="shared" si="327"/>
        <v/>
      </c>
      <c r="AP193" t="str">
        <f t="shared" si="328"/>
        <v/>
      </c>
      <c r="AR193" s="5">
        <f t="shared" si="249"/>
        <v>20.306824717553575</v>
      </c>
      <c r="AS193" s="5">
        <f t="shared" si="335"/>
        <v>12.499999999999998</v>
      </c>
      <c r="AT193" s="5">
        <f t="shared" si="336"/>
        <v>7.8068247175535763</v>
      </c>
      <c r="AU193" s="153">
        <f t="shared" si="337"/>
        <v>0.6155566009881781</v>
      </c>
      <c r="AW193" s="5">
        <f t="shared" si="275"/>
        <v>5.1874999999999991</v>
      </c>
      <c r="AX193" s="5"/>
      <c r="AY193" s="5">
        <f t="shared" si="276"/>
        <v>6.4843749999999991</v>
      </c>
      <c r="AZ193" s="5"/>
      <c r="BA193" s="5">
        <f t="shared" si="277"/>
        <v>1.5999171643381402</v>
      </c>
      <c r="BB193" s="5"/>
      <c r="BC193" s="5"/>
      <c r="BD193" s="153">
        <f t="shared" si="278"/>
        <v>0.33973057366872855</v>
      </c>
      <c r="BE193" s="153">
        <f t="shared" si="279"/>
        <v>0.26848302984493566</v>
      </c>
      <c r="BF193" s="153">
        <f t="shared" si="280"/>
        <v>0.26743015521809277</v>
      </c>
      <c r="BG193" s="153"/>
      <c r="BH193" s="463">
        <f t="shared" si="281"/>
        <v>4.0395901939849183E-2</v>
      </c>
      <c r="BI193" s="463">
        <f t="shared" si="282"/>
        <v>5.4144358622920169E-3</v>
      </c>
      <c r="BJ193" s="463">
        <f t="shared" si="283"/>
        <v>6.1555660098817813E-4</v>
      </c>
      <c r="BK193" s="463">
        <f t="shared" si="284"/>
        <v>2.1166834597653589E-3</v>
      </c>
      <c r="BL193">
        <f t="shared" si="285"/>
        <v>2.6099999999999999E-3</v>
      </c>
      <c r="BM193">
        <f t="shared" si="329"/>
        <v>4.924452807905426E-7</v>
      </c>
      <c r="BN193">
        <f t="shared" si="330"/>
        <v>5.7031575909445117E-2</v>
      </c>
      <c r="BO193" s="147">
        <f t="shared" si="286"/>
        <v>51.152577862894738</v>
      </c>
      <c r="BP193" s="153">
        <f t="shared" si="287"/>
        <v>3.32E-2</v>
      </c>
      <c r="BQ193" s="153">
        <f t="shared" si="288"/>
        <v>3.32E-2</v>
      </c>
      <c r="BR193" s="463"/>
      <c r="BT193" s="147">
        <f t="shared" si="289"/>
        <v>66.400000000000006</v>
      </c>
      <c r="BU193" s="463">
        <f t="shared" si="290"/>
        <v>9.2333490148226727E-2</v>
      </c>
      <c r="BV193" s="463">
        <f t="shared" si="291"/>
        <v>5.7378177302514433E-2</v>
      </c>
      <c r="BW193" s="463">
        <f t="shared" si="292"/>
        <v>3.5759443959986594E-3</v>
      </c>
      <c r="BX193" s="463">
        <f t="shared" si="293"/>
        <v>0</v>
      </c>
      <c r="BY193" s="463">
        <f t="shared" si="274"/>
        <v>0.17381360303763793</v>
      </c>
      <c r="BZ193" s="463">
        <f t="shared" si="250"/>
        <v>0.15328761184673981</v>
      </c>
      <c r="CA193" s="549">
        <f t="shared" si="331"/>
        <v>4.1550070566702027E-2</v>
      </c>
      <c r="CB193" s="147">
        <f t="shared" ref="CB193:CB210" si="338">SUM(BU193:CA193)*1000</f>
        <v>521.93889729781949</v>
      </c>
      <c r="CC193" s="153">
        <f t="shared" si="251"/>
        <v>0.33879524951378504</v>
      </c>
      <c r="CD193" s="5">
        <f t="shared" ref="CD193:CD210" si="339">MIN(H193+I193,O193+P193)</f>
        <v>2.8536016371077757</v>
      </c>
      <c r="CE193" s="153">
        <f t="shared" ref="CE193:CE210" si="340">CD193/(CD193+CC193)</f>
        <v>0.89387433281445028</v>
      </c>
      <c r="CF193" s="5">
        <f t="shared" ref="CF193:CF210" si="341">CE193*100</f>
        <v>89.387433281445027</v>
      </c>
      <c r="CG193">
        <f t="shared" ref="CG193:CG210" si="342">F193/Iout*100</f>
        <v>83</v>
      </c>
      <c r="CI193" s="59">
        <f t="shared" si="332"/>
        <v>-50</v>
      </c>
      <c r="CJ193">
        <f t="shared" si="333"/>
        <v>-50</v>
      </c>
    </row>
    <row r="194" spans="5:88" x14ac:dyDescent="0.25">
      <c r="E194" s="150">
        <v>84</v>
      </c>
      <c r="F194" s="191">
        <f t="shared" si="334"/>
        <v>8.4000000000000005E-2</v>
      </c>
      <c r="G194" s="191">
        <f t="shared" si="299"/>
        <v>8.4000000000000005E-2</v>
      </c>
      <c r="H194" s="191">
        <f t="shared" si="300"/>
        <v>1.6800000000000002</v>
      </c>
      <c r="I194" s="191">
        <f t="shared" si="301"/>
        <v>1.3440000000000001</v>
      </c>
      <c r="J194" s="472">
        <f t="shared" si="302"/>
        <v>9</v>
      </c>
      <c r="K194" s="386">
        <f t="shared" si="303"/>
        <v>14.242724615084777</v>
      </c>
      <c r="L194" s="386">
        <f t="shared" si="304"/>
        <v>29.32</v>
      </c>
      <c r="M194" s="386"/>
      <c r="N194" s="191">
        <f t="shared" si="305"/>
        <v>0.69304229195088674</v>
      </c>
      <c r="O194" s="152">
        <f t="shared" si="306"/>
        <v>1.1695088676671213</v>
      </c>
      <c r="P194" s="152">
        <f t="shared" si="307"/>
        <v>1.6840927694406547</v>
      </c>
      <c r="Q194" s="191">
        <f t="shared" si="308"/>
        <v>5.8475443383356064E-2</v>
      </c>
      <c r="R194" s="191">
        <f t="shared" si="309"/>
        <v>7.3094304229195078E-2</v>
      </c>
      <c r="S194" s="191">
        <f t="shared" si="310"/>
        <v>13.922724615084777</v>
      </c>
      <c r="T194" s="191">
        <f t="shared" si="311"/>
        <v>0.75</v>
      </c>
      <c r="U194" s="191">
        <f t="shared" si="312"/>
        <v>12.499999999999998</v>
      </c>
      <c r="V194" s="191">
        <f t="shared" si="313"/>
        <v>7.8987695851992266</v>
      </c>
      <c r="W194" s="175">
        <f t="shared" si="314"/>
        <v>245.11282306104681</v>
      </c>
      <c r="X194" s="386">
        <f t="shared" si="315"/>
        <v>49.022564612209351</v>
      </c>
      <c r="Z194" s="191">
        <f t="shared" si="316"/>
        <v>0.15</v>
      </c>
      <c r="AA194" s="153">
        <f t="shared" si="317"/>
        <v>1.5797539170398451</v>
      </c>
      <c r="AB194" s="153">
        <f t="shared" si="318"/>
        <v>1.6134080931140965E-2</v>
      </c>
      <c r="AC194" s="153"/>
      <c r="AD194" s="153">
        <f t="shared" si="319"/>
        <v>1.5797539170398451</v>
      </c>
      <c r="AE194" s="317">
        <f t="shared" si="320"/>
        <v>708.97118083977568</v>
      </c>
      <c r="AF194" s="463">
        <f t="shared" si="321"/>
        <v>2.9041345676053737E-2</v>
      </c>
      <c r="AH194" s="153">
        <f t="shared" si="322"/>
        <v>0.33941125496954283</v>
      </c>
      <c r="AI194" s="153">
        <f t="shared" si="323"/>
        <v>0.75</v>
      </c>
      <c r="AJ194" s="153">
        <f t="shared" si="324"/>
        <v>1.6444444444444444</v>
      </c>
      <c r="AL194" s="317">
        <f t="shared" si="325"/>
        <v>84</v>
      </c>
      <c r="AM194" s="147">
        <f t="shared" si="326"/>
        <v>49.022564612209351</v>
      </c>
      <c r="AO194" t="str">
        <f t="shared" si="327"/>
        <v/>
      </c>
      <c r="AP194" t="str">
        <f t="shared" si="328"/>
        <v/>
      </c>
      <c r="AR194" s="5">
        <f t="shared" si="249"/>
        <v>20.398769585199226</v>
      </c>
      <c r="AS194" s="5">
        <f t="shared" si="335"/>
        <v>12.499999999999998</v>
      </c>
      <c r="AT194" s="5">
        <f t="shared" si="336"/>
        <v>7.8987695851992274</v>
      </c>
      <c r="AU194" s="153">
        <f t="shared" si="337"/>
        <v>0.61278205765261684</v>
      </c>
      <c r="AW194" s="5">
        <f t="shared" si="275"/>
        <v>5.2499999999999991</v>
      </c>
      <c r="AX194" s="5"/>
      <c r="AY194" s="5">
        <f t="shared" si="276"/>
        <v>6.5624999999999991</v>
      </c>
      <c r="AZ194" s="5"/>
      <c r="BA194" s="5">
        <f t="shared" si="277"/>
        <v>1.6382633213746545</v>
      </c>
      <c r="BB194" s="5"/>
      <c r="BC194" s="5"/>
      <c r="BD194" s="153">
        <f t="shared" si="278"/>
        <v>0.33896406271147045</v>
      </c>
      <c r="BE194" s="153">
        <f t="shared" si="279"/>
        <v>0.26945011447415335</v>
      </c>
      <c r="BF194" s="153">
        <f t="shared" si="280"/>
        <v>0.26839344735856846</v>
      </c>
      <c r="BG194" s="153"/>
      <c r="BH194" s="463">
        <f t="shared" si="281"/>
        <v>4.0213822533452979E-2</v>
      </c>
      <c r="BI194" s="463">
        <f t="shared" si="282"/>
        <v>5.3900309791124184E-3</v>
      </c>
      <c r="BJ194" s="463">
        <f t="shared" si="283"/>
        <v>6.1278205765261692E-4</v>
      </c>
      <c r="BK194" s="463">
        <f t="shared" si="284"/>
        <v>2.1071427774343485E-3</v>
      </c>
      <c r="BL194">
        <f t="shared" si="285"/>
        <v>2.6099999999999999E-3</v>
      </c>
      <c r="BM194">
        <f t="shared" si="329"/>
        <v>4.902256461220935E-7</v>
      </c>
      <c r="BN194">
        <f t="shared" si="330"/>
        <v>5.6784443972765941E-2</v>
      </c>
      <c r="BO194" s="147">
        <f t="shared" si="286"/>
        <v>50.933778347652364</v>
      </c>
      <c r="BP194" s="153">
        <f t="shared" si="287"/>
        <v>3.3600000000000005E-2</v>
      </c>
      <c r="BQ194" s="153">
        <f t="shared" si="288"/>
        <v>3.3600000000000005E-2</v>
      </c>
      <c r="BR194" s="463"/>
      <c r="BT194" s="147">
        <f t="shared" si="289"/>
        <v>67.2</v>
      </c>
      <c r="BU194" s="463">
        <f t="shared" si="290"/>
        <v>9.1917308647892548E-2</v>
      </c>
      <c r="BV194" s="463">
        <f t="shared" si="291"/>
        <v>5.7792277895346938E-2</v>
      </c>
      <c r="BW194" s="463">
        <f t="shared" si="292"/>
        <v>3.6017521292508329E-3</v>
      </c>
      <c r="BX194" s="463">
        <f t="shared" si="293"/>
        <v>0</v>
      </c>
      <c r="BY194" s="463">
        <f t="shared" si="274"/>
        <v>0.17384084107812026</v>
      </c>
      <c r="BZ194" s="463">
        <f t="shared" si="250"/>
        <v>0.15331133867249033</v>
      </c>
      <c r="CA194" s="549">
        <f t="shared" si="331"/>
        <v>4.1362788891551643E-2</v>
      </c>
      <c r="CB194" s="147">
        <f t="shared" si="338"/>
        <v>521.82630731465258</v>
      </c>
      <c r="CC194" s="153">
        <f t="shared" si="251"/>
        <v>0.33918807394243788</v>
      </c>
      <c r="CD194" s="5">
        <f t="shared" si="339"/>
        <v>2.8536016371077757</v>
      </c>
      <c r="CE194" s="153">
        <f t="shared" si="340"/>
        <v>0.89376435511286212</v>
      </c>
      <c r="CF194" s="5">
        <f t="shared" si="341"/>
        <v>89.376435511286218</v>
      </c>
      <c r="CG194">
        <f t="shared" si="342"/>
        <v>84</v>
      </c>
      <c r="CI194" s="59">
        <f t="shared" si="332"/>
        <v>-50</v>
      </c>
      <c r="CJ194">
        <f t="shared" si="333"/>
        <v>-50</v>
      </c>
    </row>
    <row r="195" spans="5:88" x14ac:dyDescent="0.25">
      <c r="E195" s="150">
        <v>85</v>
      </c>
      <c r="F195" s="191">
        <f t="shared" si="334"/>
        <v>8.5000000000000006E-2</v>
      </c>
      <c r="G195" s="191">
        <f t="shared" si="299"/>
        <v>8.5000000000000006E-2</v>
      </c>
      <c r="H195" s="191">
        <f t="shared" si="300"/>
        <v>1.7000000000000002</v>
      </c>
      <c r="I195" s="191">
        <f t="shared" si="301"/>
        <v>1.36</v>
      </c>
      <c r="J195" s="472">
        <f t="shared" si="302"/>
        <v>9</v>
      </c>
      <c r="K195" s="386">
        <f t="shared" si="303"/>
        <v>14.078927854907308</v>
      </c>
      <c r="L195" s="386">
        <f t="shared" si="304"/>
        <v>29.32</v>
      </c>
      <c r="M195" s="386"/>
      <c r="N195" s="191">
        <f t="shared" si="305"/>
        <v>0.69304229195088674</v>
      </c>
      <c r="O195" s="152">
        <f t="shared" si="306"/>
        <v>1.1695088676671213</v>
      </c>
      <c r="P195" s="152">
        <f t="shared" si="307"/>
        <v>1.6840927694406547</v>
      </c>
      <c r="Q195" s="191">
        <f t="shared" si="308"/>
        <v>5.8475443383356064E-2</v>
      </c>
      <c r="R195" s="191">
        <f t="shared" si="309"/>
        <v>7.3094304229195078E-2</v>
      </c>
      <c r="S195" s="191">
        <f t="shared" si="310"/>
        <v>13.758927854907308</v>
      </c>
      <c r="T195" s="191">
        <f t="shared" si="311"/>
        <v>0.75</v>
      </c>
      <c r="U195" s="191">
        <f t="shared" si="312"/>
        <v>12.499999999999998</v>
      </c>
      <c r="V195" s="191">
        <f t="shared" si="313"/>
        <v>7.9906652807221636</v>
      </c>
      <c r="W195" s="175">
        <f t="shared" si="314"/>
        <v>244.01355112193718</v>
      </c>
      <c r="X195" s="386">
        <f t="shared" si="315"/>
        <v>48.802710224387432</v>
      </c>
      <c r="Z195" s="191">
        <f t="shared" si="316"/>
        <v>0.15000000000000002</v>
      </c>
      <c r="AA195" s="153">
        <f t="shared" si="317"/>
        <v>1.5981330561444329</v>
      </c>
      <c r="AB195" s="153">
        <f t="shared" si="318"/>
        <v>1.6248588424798222E-2</v>
      </c>
      <c r="AC195" s="153"/>
      <c r="AD195" s="153">
        <f t="shared" si="319"/>
        <v>1.5981330561444327</v>
      </c>
      <c r="AE195" s="317">
        <f t="shared" si="320"/>
        <v>709.16081046940531</v>
      </c>
      <c r="AF195" s="463">
        <f t="shared" si="321"/>
        <v>2.9247459164636794E-2</v>
      </c>
      <c r="AH195" s="153">
        <f t="shared" si="322"/>
        <v>0.34142558277233503</v>
      </c>
      <c r="AI195" s="153">
        <f t="shared" si="323"/>
        <v>0.75</v>
      </c>
      <c r="AJ195" s="153">
        <f t="shared" si="324"/>
        <v>1.6444444444444444</v>
      </c>
      <c r="AL195" s="317">
        <f t="shared" si="325"/>
        <v>85</v>
      </c>
      <c r="AM195" s="147">
        <f t="shared" si="326"/>
        <v>48.802710224387432</v>
      </c>
      <c r="AO195" t="str">
        <f t="shared" si="327"/>
        <v/>
      </c>
      <c r="AP195" t="str">
        <f t="shared" si="328"/>
        <v/>
      </c>
      <c r="AR195" s="5">
        <f t="shared" si="249"/>
        <v>20.490665280722162</v>
      </c>
      <c r="AS195" s="5">
        <f t="shared" si="335"/>
        <v>12.499999999999998</v>
      </c>
      <c r="AT195" s="5">
        <f t="shared" si="336"/>
        <v>7.9906652807221636</v>
      </c>
      <c r="AU195" s="153">
        <f t="shared" si="337"/>
        <v>0.61003387780484275</v>
      </c>
      <c r="AW195" s="5">
        <f t="shared" si="275"/>
        <v>5.3125</v>
      </c>
      <c r="AX195" s="5"/>
      <c r="AY195" s="5">
        <f t="shared" si="276"/>
        <v>6.640625</v>
      </c>
      <c r="AZ195" s="5"/>
      <c r="BA195" s="5">
        <f t="shared" si="277"/>
        <v>1.6770532070651456</v>
      </c>
      <c r="BB195" s="5"/>
      <c r="BC195" s="5"/>
      <c r="BD195" s="153">
        <f t="shared" si="278"/>
        <v>0.33820312252906248</v>
      </c>
      <c r="BE195" s="153">
        <f t="shared" si="279"/>
        <v>0.27040460038910574</v>
      </c>
      <c r="BF195" s="153">
        <f t="shared" si="280"/>
        <v>0.26934419019150141</v>
      </c>
      <c r="BG195" s="153"/>
      <c r="BH195" s="463">
        <f t="shared" si="281"/>
        <v>4.0033473230942813E-2</v>
      </c>
      <c r="BI195" s="463">
        <f t="shared" si="282"/>
        <v>5.3658579891713992E-3</v>
      </c>
      <c r="BJ195" s="463">
        <f t="shared" si="283"/>
        <v>6.1003387780484287E-4</v>
      </c>
      <c r="BK195" s="463">
        <f t="shared" si="284"/>
        <v>2.0976927499000721E-3</v>
      </c>
      <c r="BL195">
        <f t="shared" si="285"/>
        <v>2.6099999999999999E-3</v>
      </c>
      <c r="BM195">
        <f t="shared" si="329"/>
        <v>4.8802710224387432E-7</v>
      </c>
      <c r="BN195">
        <f t="shared" si="330"/>
        <v>5.6539676753906275E-2</v>
      </c>
      <c r="BO195" s="147">
        <f t="shared" si="286"/>
        <v>50.717057847819127</v>
      </c>
      <c r="BP195" s="153">
        <f t="shared" si="287"/>
        <v>3.4000000000000002E-2</v>
      </c>
      <c r="BQ195" s="153">
        <f t="shared" si="288"/>
        <v>3.4000000000000002E-2</v>
      </c>
      <c r="BR195" s="463"/>
      <c r="BT195" s="147">
        <f t="shared" si="289"/>
        <v>68</v>
      </c>
      <c r="BU195" s="463">
        <f t="shared" si="290"/>
        <v>9.1505081670726449E-2</v>
      </c>
      <c r="BV195" s="463">
        <f t="shared" si="291"/>
        <v>5.8202443737627209E-2</v>
      </c>
      <c r="BW195" s="463">
        <f t="shared" si="292"/>
        <v>3.6273146394957844E-3</v>
      </c>
      <c r="BX195" s="463">
        <f t="shared" si="293"/>
        <v>0</v>
      </c>
      <c r="BY195" s="463">
        <f t="shared" si="274"/>
        <v>0.17386782040813134</v>
      </c>
      <c r="BZ195" s="463">
        <f t="shared" si="250"/>
        <v>0.15333484004784945</v>
      </c>
      <c r="CA195" s="549">
        <f t="shared" si="331"/>
        <v>4.1177286751826893E-2</v>
      </c>
      <c r="CB195" s="147">
        <f t="shared" si="338"/>
        <v>521.71478725565714</v>
      </c>
      <c r="CC195" s="153">
        <f t="shared" si="251"/>
        <v>0.33958478391386454</v>
      </c>
      <c r="CD195" s="5">
        <f t="shared" si="339"/>
        <v>2.8536016371077757</v>
      </c>
      <c r="CE195" s="153">
        <f t="shared" si="340"/>
        <v>0.89365331705086726</v>
      </c>
      <c r="CF195" s="5">
        <f t="shared" si="341"/>
        <v>89.365331705086732</v>
      </c>
      <c r="CG195">
        <f t="shared" si="342"/>
        <v>85</v>
      </c>
      <c r="CI195" s="59">
        <f t="shared" si="332"/>
        <v>-50</v>
      </c>
      <c r="CJ195">
        <f t="shared" si="333"/>
        <v>-50</v>
      </c>
    </row>
    <row r="196" spans="5:88" x14ac:dyDescent="0.25">
      <c r="E196" s="150">
        <v>86</v>
      </c>
      <c r="F196" s="191">
        <f t="shared" si="334"/>
        <v>8.6000000000000007E-2</v>
      </c>
      <c r="G196" s="191">
        <f t="shared" si="299"/>
        <v>8.6000000000000007E-2</v>
      </c>
      <c r="H196" s="191">
        <f t="shared" si="300"/>
        <v>1.7200000000000002</v>
      </c>
      <c r="I196" s="191">
        <f t="shared" si="301"/>
        <v>1.3760000000000001</v>
      </c>
      <c r="J196" s="472">
        <f t="shared" si="302"/>
        <v>9</v>
      </c>
      <c r="K196" s="386">
        <f t="shared" si="303"/>
        <v>13.918940321710711</v>
      </c>
      <c r="L196" s="386">
        <f t="shared" si="304"/>
        <v>29.32</v>
      </c>
      <c r="M196" s="386"/>
      <c r="N196" s="191">
        <f t="shared" si="305"/>
        <v>0.69304229195088674</v>
      </c>
      <c r="O196" s="152">
        <f t="shared" si="306"/>
        <v>1.1695088676671213</v>
      </c>
      <c r="P196" s="152">
        <f t="shared" si="307"/>
        <v>1.6840927694406547</v>
      </c>
      <c r="Q196" s="191">
        <f t="shared" si="308"/>
        <v>5.8475443383356064E-2</v>
      </c>
      <c r="R196" s="191">
        <f t="shared" si="309"/>
        <v>7.3094304229195078E-2</v>
      </c>
      <c r="S196" s="191">
        <f t="shared" si="310"/>
        <v>13.59894032171071</v>
      </c>
      <c r="T196" s="191">
        <f t="shared" si="311"/>
        <v>0.75</v>
      </c>
      <c r="U196" s="191">
        <f t="shared" si="312"/>
        <v>12.499999999999998</v>
      </c>
      <c r="V196" s="191">
        <f t="shared" si="313"/>
        <v>8.082511843557727</v>
      </c>
      <c r="W196" s="175">
        <f t="shared" si="314"/>
        <v>242.92467498640056</v>
      </c>
      <c r="X196" s="386">
        <f t="shared" si="315"/>
        <v>48.584934997280108</v>
      </c>
      <c r="Z196" s="191">
        <f t="shared" si="316"/>
        <v>0.14999999999999997</v>
      </c>
      <c r="AA196" s="153">
        <f t="shared" si="317"/>
        <v>1.6165023687115447</v>
      </c>
      <c r="AB196" s="153">
        <f t="shared" si="318"/>
        <v>1.636201302224994E-2</v>
      </c>
      <c r="AC196" s="153"/>
      <c r="AD196" s="153">
        <f t="shared" si="319"/>
        <v>1.616502368711545</v>
      </c>
      <c r="AE196" s="317">
        <f t="shared" si="320"/>
        <v>709.35044009903493</v>
      </c>
      <c r="AF196" s="463">
        <f t="shared" si="321"/>
        <v>2.9451623440049899E-2</v>
      </c>
      <c r="AH196" s="153">
        <f t="shared" si="322"/>
        <v>0.3434280960300965</v>
      </c>
      <c r="AI196" s="153">
        <f t="shared" si="323"/>
        <v>0.75</v>
      </c>
      <c r="AJ196" s="153">
        <f t="shared" si="324"/>
        <v>1.6444444444444444</v>
      </c>
      <c r="AL196" s="317">
        <f t="shared" si="325"/>
        <v>86</v>
      </c>
      <c r="AM196" s="147">
        <f t="shared" si="326"/>
        <v>48.584934997280108</v>
      </c>
      <c r="AO196" t="str">
        <f t="shared" si="327"/>
        <v/>
      </c>
      <c r="AP196" t="str">
        <f t="shared" si="328"/>
        <v/>
      </c>
      <c r="AR196" s="5">
        <f t="shared" si="249"/>
        <v>20.582511843557725</v>
      </c>
      <c r="AS196" s="5">
        <f t="shared" si="335"/>
        <v>12.499999999999998</v>
      </c>
      <c r="AT196" s="5">
        <f t="shared" si="336"/>
        <v>8.082511843557727</v>
      </c>
      <c r="AU196" s="153">
        <f t="shared" si="337"/>
        <v>0.60731168746600128</v>
      </c>
      <c r="AW196" s="5">
        <f t="shared" si="275"/>
        <v>5.375</v>
      </c>
      <c r="AX196" s="5"/>
      <c r="AY196" s="5">
        <f t="shared" si="276"/>
        <v>6.71875</v>
      </c>
      <c r="AZ196" s="5"/>
      <c r="BA196" s="5">
        <f t="shared" si="277"/>
        <v>1.7162864655455914</v>
      </c>
      <c r="BB196" s="5"/>
      <c r="BC196" s="5"/>
      <c r="BD196" s="153">
        <f t="shared" si="278"/>
        <v>0.33744768690846771</v>
      </c>
      <c r="BE196" s="153">
        <f t="shared" si="279"/>
        <v>0.27134674975043416</v>
      </c>
      <c r="BF196" s="153">
        <f t="shared" si="280"/>
        <v>0.27028264484945214</v>
      </c>
      <c r="BG196" s="153"/>
      <c r="BH196" s="463">
        <f t="shared" si="281"/>
        <v>3.9854829489956334E-2</v>
      </c>
      <c r="BI196" s="463">
        <f t="shared" si="282"/>
        <v>5.3419136029509481E-3</v>
      </c>
      <c r="BJ196" s="463">
        <f t="shared" si="283"/>
        <v>6.0731168746600136E-4</v>
      </c>
      <c r="BK196" s="463">
        <f t="shared" si="284"/>
        <v>2.0883320911802908E-3</v>
      </c>
      <c r="BL196">
        <f t="shared" si="285"/>
        <v>2.6099999999999999E-3</v>
      </c>
      <c r="BM196">
        <f t="shared" si="329"/>
        <v>4.8584934997280108E-7</v>
      </c>
      <c r="BN196">
        <f t="shared" si="330"/>
        <v>5.6297240473757518E-2</v>
      </c>
      <c r="BO196" s="147">
        <f t="shared" si="286"/>
        <v>50.502386871553576</v>
      </c>
      <c r="BP196" s="153">
        <f t="shared" si="287"/>
        <v>3.4400000000000007E-2</v>
      </c>
      <c r="BQ196" s="153">
        <f t="shared" si="288"/>
        <v>3.4400000000000007E-2</v>
      </c>
      <c r="BR196" s="463"/>
      <c r="BT196" s="147">
        <f t="shared" si="289"/>
        <v>68.800000000000011</v>
      </c>
      <c r="BU196" s="463">
        <f t="shared" si="290"/>
        <v>9.1096753119900203E-2</v>
      </c>
      <c r="BV196" s="463">
        <f t="shared" si="291"/>
        <v>5.8608730645699297E-2</v>
      </c>
      <c r="BW196" s="463">
        <f t="shared" si="292"/>
        <v>3.652635405340754E-3</v>
      </c>
      <c r="BX196" s="463">
        <f t="shared" si="293"/>
        <v>0</v>
      </c>
      <c r="BY196" s="463">
        <f t="shared" si="274"/>
        <v>0.17389454469614818</v>
      </c>
      <c r="BZ196" s="463">
        <f t="shared" si="250"/>
        <v>0.15335811917094025</v>
      </c>
      <c r="CA196" s="549">
        <f t="shared" si="331"/>
        <v>4.0993538903955087E-2</v>
      </c>
      <c r="CB196" s="147">
        <f t="shared" si="338"/>
        <v>521.6043219419837</v>
      </c>
      <c r="CC196" s="153">
        <f t="shared" si="251"/>
        <v>0.33998532407386078</v>
      </c>
      <c r="CD196" s="5">
        <f t="shared" si="339"/>
        <v>2.8536016371077757</v>
      </c>
      <c r="CE196" s="153">
        <f t="shared" si="340"/>
        <v>0.8935412349165951</v>
      </c>
      <c r="CF196" s="5">
        <f t="shared" si="341"/>
        <v>89.354123491659507</v>
      </c>
      <c r="CG196">
        <f t="shared" si="342"/>
        <v>86</v>
      </c>
      <c r="CI196" s="59">
        <f t="shared" si="332"/>
        <v>-50</v>
      </c>
      <c r="CJ196">
        <f t="shared" si="333"/>
        <v>-50</v>
      </c>
    </row>
    <row r="197" spans="5:88" x14ac:dyDescent="0.25">
      <c r="E197" s="150">
        <v>87</v>
      </c>
      <c r="F197" s="191">
        <f t="shared" si="334"/>
        <v>8.7000000000000008E-2</v>
      </c>
      <c r="G197" s="191">
        <f t="shared" si="299"/>
        <v>8.7000000000000008E-2</v>
      </c>
      <c r="H197" s="191">
        <f t="shared" si="300"/>
        <v>1.7400000000000002</v>
      </c>
      <c r="I197" s="191">
        <f t="shared" si="301"/>
        <v>1.3920000000000001</v>
      </c>
      <c r="J197" s="472">
        <f t="shared" si="302"/>
        <v>9</v>
      </c>
      <c r="K197" s="386">
        <f t="shared" si="303"/>
        <v>13.762630662840474</v>
      </c>
      <c r="L197" s="386">
        <f t="shared" si="304"/>
        <v>29.32</v>
      </c>
      <c r="M197" s="386"/>
      <c r="N197" s="191">
        <f t="shared" si="305"/>
        <v>0.69304229195088674</v>
      </c>
      <c r="O197" s="152">
        <f t="shared" si="306"/>
        <v>1.1695088676671213</v>
      </c>
      <c r="P197" s="152">
        <f t="shared" si="307"/>
        <v>1.6840927694406547</v>
      </c>
      <c r="Q197" s="191">
        <f t="shared" si="308"/>
        <v>5.8475443383356064E-2</v>
      </c>
      <c r="R197" s="191">
        <f t="shared" si="309"/>
        <v>7.3094304229195078E-2</v>
      </c>
      <c r="S197" s="191">
        <f t="shared" si="310"/>
        <v>13.442630662840473</v>
      </c>
      <c r="T197" s="191">
        <f t="shared" si="311"/>
        <v>0.75</v>
      </c>
      <c r="U197" s="191">
        <f t="shared" si="312"/>
        <v>12.499999999999998</v>
      </c>
      <c r="V197" s="191">
        <f t="shared" si="313"/>
        <v>8.1743093130990907</v>
      </c>
      <c r="W197" s="175">
        <f t="shared" si="314"/>
        <v>241.8460478789508</v>
      </c>
      <c r="X197" s="386">
        <f t="shared" si="315"/>
        <v>48.369209575790158</v>
      </c>
      <c r="Z197" s="191">
        <f t="shared" si="316"/>
        <v>0.15</v>
      </c>
      <c r="AA197" s="153">
        <f t="shared" si="317"/>
        <v>1.6348618626198179</v>
      </c>
      <c r="AB197" s="153">
        <f t="shared" si="318"/>
        <v>1.6474370012609298E-2</v>
      </c>
      <c r="AC197" s="153"/>
      <c r="AD197" s="153">
        <f t="shared" si="319"/>
        <v>1.6348618626198179</v>
      </c>
      <c r="AE197" s="317">
        <f t="shared" si="320"/>
        <v>709.54006972866455</v>
      </c>
      <c r="AF197" s="463">
        <f t="shared" si="321"/>
        <v>2.9653866022696738E-2</v>
      </c>
      <c r="AH197" s="153">
        <f t="shared" si="322"/>
        <v>0.34541900022188377</v>
      </c>
      <c r="AI197" s="153">
        <f t="shared" si="323"/>
        <v>0.75</v>
      </c>
      <c r="AJ197" s="153">
        <f t="shared" si="324"/>
        <v>1.6444444444444444</v>
      </c>
      <c r="AL197" s="317">
        <f t="shared" si="325"/>
        <v>87.000000000000014</v>
      </c>
      <c r="AM197" s="147">
        <f t="shared" si="326"/>
        <v>48.369209575790158</v>
      </c>
      <c r="AO197" t="str">
        <f t="shared" si="327"/>
        <v/>
      </c>
      <c r="AP197" t="str">
        <f t="shared" si="328"/>
        <v/>
      </c>
      <c r="AR197" s="5">
        <f t="shared" si="249"/>
        <v>20.674309313099087</v>
      </c>
      <c r="AS197" s="5">
        <f t="shared" si="335"/>
        <v>12.499999999999998</v>
      </c>
      <c r="AT197" s="5">
        <f t="shared" si="336"/>
        <v>8.1743093130990889</v>
      </c>
      <c r="AU197" s="153">
        <f t="shared" si="337"/>
        <v>0.60461511969737691</v>
      </c>
      <c r="AW197" s="5">
        <f t="shared" si="275"/>
        <v>5.4375</v>
      </c>
      <c r="AX197" s="5"/>
      <c r="AY197" s="5">
        <f t="shared" si="276"/>
        <v>6.7968749999999991</v>
      </c>
      <c r="AZ197" s="5"/>
      <c r="BA197" s="5">
        <f t="shared" si="277"/>
        <v>1.755962741332397</v>
      </c>
      <c r="BB197" s="5"/>
      <c r="BC197" s="5"/>
      <c r="BD197" s="153">
        <f t="shared" si="278"/>
        <v>0.33669769073051004</v>
      </c>
      <c r="BE197" s="153">
        <f t="shared" si="279"/>
        <v>0.27227681696527495</v>
      </c>
      <c r="BF197" s="153">
        <f t="shared" si="280"/>
        <v>0.27120906474188172</v>
      </c>
      <c r="BG197" s="153"/>
      <c r="BH197" s="463">
        <f t="shared" si="281"/>
        <v>3.9677867230140357E-2</v>
      </c>
      <c r="BI197" s="463">
        <f t="shared" si="282"/>
        <v>5.3181945928581281E-3</v>
      </c>
      <c r="BJ197" s="463">
        <f t="shared" si="283"/>
        <v>6.0461511969737698E-4</v>
      </c>
      <c r="BK197" s="463">
        <f t="shared" si="284"/>
        <v>2.0790595395013376E-3</v>
      </c>
      <c r="BL197">
        <f t="shared" si="285"/>
        <v>2.6099999999999999E-3</v>
      </c>
      <c r="BM197">
        <f t="shared" si="329"/>
        <v>4.8369209575790162E-7</v>
      </c>
      <c r="BN197">
        <f t="shared" si="330"/>
        <v>5.6057101993524823E-2</v>
      </c>
      <c r="BO197" s="147">
        <f t="shared" si="286"/>
        <v>50.289736482197206</v>
      </c>
      <c r="BP197" s="153">
        <f t="shared" si="287"/>
        <v>3.4800000000000005E-2</v>
      </c>
      <c r="BQ197" s="153">
        <f t="shared" si="288"/>
        <v>3.4800000000000005E-2</v>
      </c>
      <c r="BR197" s="463"/>
      <c r="BT197" s="147">
        <f t="shared" si="289"/>
        <v>69.600000000000009</v>
      </c>
      <c r="BU197" s="463">
        <f t="shared" si="290"/>
        <v>9.0692267954606554E-2</v>
      </c>
      <c r="BV197" s="463">
        <f t="shared" si="291"/>
        <v>5.9011193385166506E-2</v>
      </c>
      <c r="BW197" s="463">
        <f t="shared" si="292"/>
        <v>3.6777178399083096E-3</v>
      </c>
      <c r="BX197" s="463">
        <f t="shared" si="293"/>
        <v>0</v>
      </c>
      <c r="BY197" s="463">
        <f t="shared" si="274"/>
        <v>0.17392101754161618</v>
      </c>
      <c r="BZ197" s="463">
        <f t="shared" si="250"/>
        <v>0.15338117917968136</v>
      </c>
      <c r="CA197" s="549">
        <f t="shared" si="331"/>
        <v>4.0811520579572942E-2</v>
      </c>
      <c r="CB197" s="147">
        <f t="shared" si="338"/>
        <v>521.49489648055192</v>
      </c>
      <c r="CC197" s="153">
        <f t="shared" si="251"/>
        <v>0.34038964011471395</v>
      </c>
      <c r="CD197" s="5">
        <f t="shared" si="339"/>
        <v>2.8536016371077757</v>
      </c>
      <c r="CE197" s="153">
        <f t="shared" si="340"/>
        <v>0.89342812469709731</v>
      </c>
      <c r="CF197" s="5">
        <f t="shared" si="341"/>
        <v>89.342812469709727</v>
      </c>
      <c r="CG197">
        <f t="shared" si="342"/>
        <v>87</v>
      </c>
      <c r="CI197" s="59">
        <f t="shared" si="332"/>
        <v>-50</v>
      </c>
      <c r="CJ197">
        <f t="shared" si="333"/>
        <v>-50</v>
      </c>
    </row>
    <row r="198" spans="5:88" x14ac:dyDescent="0.25">
      <c r="E198" s="150">
        <v>88</v>
      </c>
      <c r="F198" s="191">
        <f t="shared" si="334"/>
        <v>8.8000000000000009E-2</v>
      </c>
      <c r="G198" s="191">
        <f t="shared" si="299"/>
        <v>8.8000000000000009E-2</v>
      </c>
      <c r="H198" s="191">
        <f t="shared" si="300"/>
        <v>1.7600000000000002</v>
      </c>
      <c r="I198" s="191">
        <f t="shared" si="301"/>
        <v>1.4080000000000001</v>
      </c>
      <c r="J198" s="472">
        <f t="shared" si="302"/>
        <v>9</v>
      </c>
      <c r="K198" s="386">
        <f t="shared" si="303"/>
        <v>13.609873496217286</v>
      </c>
      <c r="L198" s="386">
        <f t="shared" si="304"/>
        <v>29.32</v>
      </c>
      <c r="M198" s="386"/>
      <c r="N198" s="191">
        <f t="shared" si="305"/>
        <v>0.69304229195088674</v>
      </c>
      <c r="O198" s="152">
        <f t="shared" si="306"/>
        <v>1.1695088676671213</v>
      </c>
      <c r="P198" s="152">
        <f t="shared" si="307"/>
        <v>1.6840927694406547</v>
      </c>
      <c r="Q198" s="191">
        <f t="shared" si="308"/>
        <v>5.8475443383356064E-2</v>
      </c>
      <c r="R198" s="191">
        <f t="shared" si="309"/>
        <v>7.3094304229195078E-2</v>
      </c>
      <c r="S198" s="191">
        <f t="shared" si="310"/>
        <v>13.289873496217286</v>
      </c>
      <c r="T198" s="191">
        <f t="shared" si="311"/>
        <v>0.75</v>
      </c>
      <c r="U198" s="191">
        <f t="shared" si="312"/>
        <v>12.499999999999998</v>
      </c>
      <c r="V198" s="191">
        <f t="shared" si="313"/>
        <v>8.2660577286973407</v>
      </c>
      <c r="W198" s="175">
        <f t="shared" si="314"/>
        <v>240.77752577420245</v>
      </c>
      <c r="X198" s="386">
        <f t="shared" si="315"/>
        <v>48.15550515484049</v>
      </c>
      <c r="Z198" s="191">
        <f t="shared" si="316"/>
        <v>0.15000000000000002</v>
      </c>
      <c r="AA198" s="153">
        <f t="shared" si="317"/>
        <v>1.6532115457394683</v>
      </c>
      <c r="AB198" s="153">
        <f t="shared" si="318"/>
        <v>1.6585674398520583E-2</v>
      </c>
      <c r="AC198" s="153"/>
      <c r="AD198" s="153">
        <f t="shared" si="319"/>
        <v>1.653211545739468</v>
      </c>
      <c r="AE198" s="317">
        <f t="shared" si="320"/>
        <v>709.72969935829428</v>
      </c>
      <c r="AF198" s="463">
        <f t="shared" si="321"/>
        <v>2.9854213917337034E-2</v>
      </c>
      <c r="AH198" s="153">
        <f t="shared" si="322"/>
        <v>0.34739849493875807</v>
      </c>
      <c r="AI198" s="153">
        <f t="shared" si="323"/>
        <v>0.75</v>
      </c>
      <c r="AJ198" s="153">
        <f t="shared" si="324"/>
        <v>1.6444444444444444</v>
      </c>
      <c r="AL198" s="317">
        <f t="shared" si="325"/>
        <v>88.000000000000014</v>
      </c>
      <c r="AM198" s="147">
        <f t="shared" si="326"/>
        <v>48.15550515484049</v>
      </c>
      <c r="AO198" t="str">
        <f t="shared" si="327"/>
        <v/>
      </c>
      <c r="AP198" t="str">
        <f t="shared" si="328"/>
        <v/>
      </c>
      <c r="AR198" s="5">
        <f t="shared" ref="AR198:AR262" si="343">1/AM198*1000</f>
        <v>20.766057728697341</v>
      </c>
      <c r="AS198" s="5">
        <f t="shared" si="335"/>
        <v>12.499999999999998</v>
      </c>
      <c r="AT198" s="5">
        <f t="shared" si="336"/>
        <v>8.2660577286973425</v>
      </c>
      <c r="AU198" s="153">
        <f t="shared" si="337"/>
        <v>0.60194381443550604</v>
      </c>
      <c r="AW198" s="5">
        <f t="shared" si="275"/>
        <v>5.5</v>
      </c>
      <c r="AX198" s="5"/>
      <c r="AY198" s="5">
        <f t="shared" si="276"/>
        <v>6.8749999999999991</v>
      </c>
      <c r="AZ198" s="5"/>
      <c r="BA198" s="5">
        <f t="shared" si="277"/>
        <v>1.7960816793218919</v>
      </c>
      <c r="BB198" s="5"/>
      <c r="BC198" s="5"/>
      <c r="BD198" s="153">
        <f t="shared" si="278"/>
        <v>0.3359530699467671</v>
      </c>
      <c r="BE198" s="153">
        <f t="shared" si="279"/>
        <v>0.27319504899127039</v>
      </c>
      <c r="BF198" s="153">
        <f t="shared" si="280"/>
        <v>0.2721236958579713</v>
      </c>
      <c r="BG198" s="153"/>
      <c r="BH198" s="463">
        <f t="shared" si="281"/>
        <v>3.9502562822330084E-2</v>
      </c>
      <c r="BI198" s="463">
        <f t="shared" si="282"/>
        <v>5.2946977917747119E-3</v>
      </c>
      <c r="BJ198" s="463">
        <f t="shared" si="283"/>
        <v>6.0194381443550609E-4</v>
      </c>
      <c r="BK198" s="463">
        <f t="shared" si="284"/>
        <v>2.0698738567311277E-3</v>
      </c>
      <c r="BL198">
        <f t="shared" si="285"/>
        <v>2.6099999999999999E-3</v>
      </c>
      <c r="BM198">
        <f t="shared" si="329"/>
        <v>4.8155505154840489E-7</v>
      </c>
      <c r="BN198">
        <f t="shared" si="330"/>
        <v>5.581922879962635E-2</v>
      </c>
      <c r="BO198" s="147">
        <f t="shared" si="286"/>
        <v>50.079078285271429</v>
      </c>
      <c r="BP198" s="153">
        <f t="shared" si="287"/>
        <v>3.5200000000000002E-2</v>
      </c>
      <c r="BQ198" s="153">
        <f t="shared" si="288"/>
        <v>3.5200000000000002E-2</v>
      </c>
      <c r="BR198" s="463"/>
      <c r="BT198" s="147">
        <f t="shared" si="289"/>
        <v>70.400000000000006</v>
      </c>
      <c r="BU198" s="463">
        <f t="shared" si="290"/>
        <v>9.0291572165325906E-2</v>
      </c>
      <c r="BV198" s="463">
        <f t="shared" si="291"/>
        <v>5.9409885695500736E-2</v>
      </c>
      <c r="BW198" s="463">
        <f t="shared" si="292"/>
        <v>3.702565292370084E-3</v>
      </c>
      <c r="BX198" s="463">
        <f t="shared" si="293"/>
        <v>0</v>
      </c>
      <c r="BY198" s="463">
        <f t="shared" si="274"/>
        <v>0.17394724247656512</v>
      </c>
      <c r="BZ198" s="463">
        <f t="shared" ref="BZ198:BZ210" si="344">SUM(BU198:BX198)</f>
        <v>0.15340402315319673</v>
      </c>
      <c r="CA198" s="549">
        <f t="shared" si="331"/>
        <v>4.0631207474396663E-2</v>
      </c>
      <c r="CB198" s="147">
        <f t="shared" si="338"/>
        <v>521.38649625735525</v>
      </c>
      <c r="CC198" s="153">
        <f t="shared" ref="CC198:CC210" si="345">SUM(BN198,BP198:BS198,BY198, CA198)</f>
        <v>0.34079767875058808</v>
      </c>
      <c r="CD198" s="5">
        <f t="shared" si="339"/>
        <v>2.8536016371077757</v>
      </c>
      <c r="CE198" s="153">
        <f t="shared" si="340"/>
        <v>0.89331400208523626</v>
      </c>
      <c r="CF198" s="5">
        <f t="shared" si="341"/>
        <v>89.331400208523633</v>
      </c>
      <c r="CG198">
        <f t="shared" si="342"/>
        <v>88</v>
      </c>
      <c r="CI198" s="59">
        <f t="shared" si="332"/>
        <v>-50</v>
      </c>
      <c r="CJ198">
        <f t="shared" si="333"/>
        <v>-50</v>
      </c>
    </row>
    <row r="199" spans="5:88" x14ac:dyDescent="0.25">
      <c r="E199" s="150">
        <v>89</v>
      </c>
      <c r="F199" s="191">
        <f t="shared" si="334"/>
        <v>8.900000000000001E-2</v>
      </c>
      <c r="G199" s="191">
        <f t="shared" si="299"/>
        <v>8.900000000000001E-2</v>
      </c>
      <c r="H199" s="191">
        <f t="shared" si="300"/>
        <v>1.7800000000000002</v>
      </c>
      <c r="I199" s="191">
        <f t="shared" si="301"/>
        <v>1.4240000000000002</v>
      </c>
      <c r="J199" s="472">
        <f t="shared" si="302"/>
        <v>9</v>
      </c>
      <c r="K199" s="386">
        <f t="shared" si="303"/>
        <v>13.460549074911473</v>
      </c>
      <c r="L199" s="386">
        <f t="shared" si="304"/>
        <v>29.32</v>
      </c>
      <c r="M199" s="386"/>
      <c r="N199" s="191">
        <f t="shared" si="305"/>
        <v>0.69304229195088674</v>
      </c>
      <c r="O199" s="152">
        <f t="shared" si="306"/>
        <v>1.1695088676671213</v>
      </c>
      <c r="P199" s="152">
        <f t="shared" si="307"/>
        <v>1.6840927694406547</v>
      </c>
      <c r="Q199" s="191">
        <f t="shared" si="308"/>
        <v>5.8475443383356064E-2</v>
      </c>
      <c r="R199" s="191">
        <f t="shared" si="309"/>
        <v>7.3094304229195078E-2</v>
      </c>
      <c r="S199" s="191">
        <f t="shared" si="310"/>
        <v>13.140549074911473</v>
      </c>
      <c r="T199" s="191">
        <f t="shared" si="311"/>
        <v>0.75</v>
      </c>
      <c r="U199" s="191">
        <f t="shared" si="312"/>
        <v>12.499999999999998</v>
      </c>
      <c r="V199" s="191">
        <f t="shared" si="313"/>
        <v>8.3577571296615094</v>
      </c>
      <c r="W199" s="175">
        <f t="shared" si="314"/>
        <v>239.71896733276151</v>
      </c>
      <c r="X199" s="386">
        <f t="shared" si="315"/>
        <v>47.943793466552293</v>
      </c>
      <c r="Z199" s="191">
        <f t="shared" si="316"/>
        <v>0.15</v>
      </c>
      <c r="AA199" s="153">
        <f t="shared" si="317"/>
        <v>1.6715514259323017</v>
      </c>
      <c r="AB199" s="153">
        <f t="shared" si="318"/>
        <v>1.6695940902837349E-2</v>
      </c>
      <c r="AC199" s="153"/>
      <c r="AD199" s="153">
        <f t="shared" si="319"/>
        <v>1.6715514259323017</v>
      </c>
      <c r="AE199" s="317">
        <f t="shared" si="320"/>
        <v>709.91932898792379</v>
      </c>
      <c r="AF199" s="463">
        <f t="shared" si="321"/>
        <v>3.0052693625107225E-2</v>
      </c>
      <c r="AH199" s="153">
        <f t="shared" si="322"/>
        <v>0.34936677411732059</v>
      </c>
      <c r="AI199" s="153">
        <f t="shared" si="323"/>
        <v>0.75</v>
      </c>
      <c r="AJ199" s="153">
        <f t="shared" si="324"/>
        <v>1.6444444444444444</v>
      </c>
      <c r="AL199" s="317">
        <f t="shared" si="325"/>
        <v>89.000000000000014</v>
      </c>
      <c r="AM199" s="147">
        <f t="shared" si="326"/>
        <v>47.943793466552293</v>
      </c>
      <c r="AO199" t="str">
        <f t="shared" si="327"/>
        <v/>
      </c>
      <c r="AP199" t="str">
        <f t="shared" si="328"/>
        <v/>
      </c>
      <c r="AR199" s="5">
        <f t="shared" si="343"/>
        <v>20.857757129661508</v>
      </c>
      <c r="AS199" s="5">
        <f t="shared" si="335"/>
        <v>12.499999999999998</v>
      </c>
      <c r="AT199" s="5">
        <f t="shared" si="336"/>
        <v>8.3577571296615094</v>
      </c>
      <c r="AU199" s="153">
        <f t="shared" si="337"/>
        <v>0.59929741833190364</v>
      </c>
      <c r="AW199" s="5">
        <f t="shared" si="275"/>
        <v>5.5625000000000009</v>
      </c>
      <c r="AX199" s="5"/>
      <c r="AY199" s="5">
        <f t="shared" si="276"/>
        <v>6.953125</v>
      </c>
      <c r="AZ199" s="5"/>
      <c r="BA199" s="5">
        <f t="shared" si="277"/>
        <v>1.8366429247898133</v>
      </c>
      <c r="BB199" s="5"/>
      <c r="BC199" s="5"/>
      <c r="BD199" s="153">
        <f t="shared" si="278"/>
        <v>0.33521376155705773</v>
      </c>
      <c r="BE199" s="153">
        <f t="shared" si="279"/>
        <v>0.27410168562555043</v>
      </c>
      <c r="BF199" s="153">
        <f t="shared" si="280"/>
        <v>0.27302677705446982</v>
      </c>
      <c r="BG199" s="153"/>
      <c r="BH199" s="463">
        <f t="shared" si="281"/>
        <v>3.9328893078031182E-2</v>
      </c>
      <c r="BI199" s="463">
        <f t="shared" si="282"/>
        <v>5.2714200916474255E-3</v>
      </c>
      <c r="BJ199" s="463">
        <f t="shared" si="283"/>
        <v>5.9929741833190356E-4</v>
      </c>
      <c r="BK199" s="463">
        <f t="shared" si="284"/>
        <v>2.0607738278280332E-3</v>
      </c>
      <c r="BL199">
        <f t="shared" si="285"/>
        <v>2.6099999999999999E-3</v>
      </c>
      <c r="BM199">
        <f t="shared" si="329"/>
        <v>4.7943793466552298E-7</v>
      </c>
      <c r="BN199">
        <f t="shared" si="330"/>
        <v>5.5583588989018128E-2</v>
      </c>
      <c r="BO199" s="147">
        <f t="shared" si="286"/>
        <v>49.870384415838544</v>
      </c>
      <c r="BP199" s="153">
        <f t="shared" si="287"/>
        <v>3.5600000000000007E-2</v>
      </c>
      <c r="BQ199" s="153">
        <f t="shared" si="288"/>
        <v>3.5600000000000007E-2</v>
      </c>
      <c r="BR199" s="463"/>
      <c r="BT199" s="147">
        <f t="shared" si="289"/>
        <v>71.200000000000017</v>
      </c>
      <c r="BU199" s="463">
        <f t="shared" si="290"/>
        <v>8.9894612749785566E-2</v>
      </c>
      <c r="BV199" s="463">
        <f t="shared" si="291"/>
        <v>5.9804860313963391E-2</v>
      </c>
      <c r="BW199" s="463">
        <f t="shared" si="292"/>
        <v>3.7271810494375586E-3</v>
      </c>
      <c r="BX199" s="463">
        <f t="shared" si="293"/>
        <v>0</v>
      </c>
      <c r="BY199" s="463">
        <f t="shared" si="274"/>
        <v>0.17397322296718024</v>
      </c>
      <c r="BZ199" s="463">
        <f t="shared" si="344"/>
        <v>0.15342665411318651</v>
      </c>
      <c r="CA199" s="549">
        <f t="shared" si="331"/>
        <v>4.0452575737403497E-2</v>
      </c>
      <c r="CB199" s="147">
        <f t="shared" si="338"/>
        <v>521.2791069309568</v>
      </c>
      <c r="CC199" s="153">
        <f t="shared" si="345"/>
        <v>0.34120938769360193</v>
      </c>
      <c r="CD199" s="5">
        <f t="shared" si="339"/>
        <v>2.8536016371077757</v>
      </c>
      <c r="CE199" s="153">
        <f t="shared" si="340"/>
        <v>0.8931988824863859</v>
      </c>
      <c r="CF199" s="5">
        <f t="shared" si="341"/>
        <v>89.319888248638591</v>
      </c>
      <c r="CG199">
        <f t="shared" si="342"/>
        <v>89</v>
      </c>
      <c r="CI199" s="59">
        <f t="shared" si="332"/>
        <v>-50</v>
      </c>
      <c r="CJ199">
        <f t="shared" si="333"/>
        <v>-50</v>
      </c>
    </row>
    <row r="200" spans="5:88" x14ac:dyDescent="0.25">
      <c r="E200" s="150">
        <v>90</v>
      </c>
      <c r="F200" s="191">
        <f t="shared" si="334"/>
        <v>9.0000000000000011E-2</v>
      </c>
      <c r="G200" s="191">
        <f t="shared" si="299"/>
        <v>9.0000000000000011E-2</v>
      </c>
      <c r="H200" s="191">
        <f t="shared" si="300"/>
        <v>1.8000000000000003</v>
      </c>
      <c r="I200" s="191">
        <f t="shared" si="301"/>
        <v>1.4400000000000002</v>
      </c>
      <c r="J200" s="472">
        <f t="shared" si="302"/>
        <v>9</v>
      </c>
      <c r="K200" s="386">
        <f t="shared" si="303"/>
        <v>13.314542974079124</v>
      </c>
      <c r="L200" s="386">
        <f t="shared" si="304"/>
        <v>29.32</v>
      </c>
      <c r="M200" s="386"/>
      <c r="N200" s="191">
        <f t="shared" si="305"/>
        <v>0.69304229195088674</v>
      </c>
      <c r="O200" s="152">
        <f t="shared" si="306"/>
        <v>1.1695088676671213</v>
      </c>
      <c r="P200" s="152">
        <f t="shared" si="307"/>
        <v>1.6840927694406547</v>
      </c>
      <c r="Q200" s="191">
        <f t="shared" si="308"/>
        <v>5.8475443383356064E-2</v>
      </c>
      <c r="R200" s="191">
        <f t="shared" si="309"/>
        <v>7.3094304229195078E-2</v>
      </c>
      <c r="S200" s="191">
        <f t="shared" si="310"/>
        <v>12.994542974079124</v>
      </c>
      <c r="T200" s="191">
        <f t="shared" si="311"/>
        <v>0.75</v>
      </c>
      <c r="U200" s="191">
        <f t="shared" si="312"/>
        <v>12.499999999999998</v>
      </c>
      <c r="V200" s="191">
        <f t="shared" si="313"/>
        <v>8.4494075552586398</v>
      </c>
      <c r="W200" s="175">
        <f t="shared" si="314"/>
        <v>238.67023383890015</v>
      </c>
      <c r="X200" s="386">
        <f t="shared" si="315"/>
        <v>47.734046767780022</v>
      </c>
      <c r="Z200" s="191">
        <f t="shared" si="316"/>
        <v>0.15000000000000002</v>
      </c>
      <c r="AA200" s="153">
        <f t="shared" si="317"/>
        <v>1.6898815110517282</v>
      </c>
      <c r="AB200" s="153">
        <f t="shared" si="318"/>
        <v>1.6805183975114581E-2</v>
      </c>
      <c r="AC200" s="153"/>
      <c r="AD200" s="153">
        <f t="shared" si="319"/>
        <v>1.689881511051728</v>
      </c>
      <c r="AE200" s="317">
        <f t="shared" si="320"/>
        <v>710.10895861755341</v>
      </c>
      <c r="AF200" s="463">
        <f t="shared" si="321"/>
        <v>3.0249331155206238E-2</v>
      </c>
      <c r="AH200" s="153">
        <f t="shared" si="322"/>
        <v>0.35132402626147197</v>
      </c>
      <c r="AI200" s="153">
        <f t="shared" si="323"/>
        <v>0.75</v>
      </c>
      <c r="AJ200" s="153">
        <f t="shared" si="324"/>
        <v>1.6444444444444444</v>
      </c>
      <c r="AL200" s="317">
        <f t="shared" si="325"/>
        <v>90.000000000000014</v>
      </c>
      <c r="AM200" s="147">
        <f t="shared" si="326"/>
        <v>47.734046767780022</v>
      </c>
      <c r="AO200" t="str">
        <f t="shared" si="327"/>
        <v/>
      </c>
      <c r="AP200" t="str">
        <f t="shared" si="328"/>
        <v/>
      </c>
      <c r="AR200" s="5">
        <f t="shared" si="343"/>
        <v>20.949407555258638</v>
      </c>
      <c r="AS200" s="5">
        <f t="shared" si="335"/>
        <v>12.499999999999998</v>
      </c>
      <c r="AT200" s="5">
        <f t="shared" si="336"/>
        <v>8.4494075552586398</v>
      </c>
      <c r="AU200" s="153">
        <f t="shared" si="337"/>
        <v>0.59667558459725023</v>
      </c>
      <c r="AW200" s="5">
        <f t="shared" si="275"/>
        <v>5.625</v>
      </c>
      <c r="AX200" s="5"/>
      <c r="AY200" s="5">
        <f t="shared" si="276"/>
        <v>7.03125</v>
      </c>
      <c r="AZ200" s="5"/>
      <c r="BA200" s="5">
        <f t="shared" si="277"/>
        <v>1.8776461233908093</v>
      </c>
      <c r="BB200" s="5"/>
      <c r="BC200" s="5"/>
      <c r="BD200" s="153">
        <f t="shared" si="278"/>
        <v>0.33447970358750384</v>
      </c>
      <c r="BE200" s="153">
        <f t="shared" si="279"/>
        <v>0.2749969597795866</v>
      </c>
      <c r="BF200" s="153">
        <f t="shared" si="280"/>
        <v>0.27391854032947055</v>
      </c>
      <c r="BG200" s="153"/>
      <c r="BH200" s="463">
        <f t="shared" si="281"/>
        <v>3.9156835239194547E-2</v>
      </c>
      <c r="BI200" s="463">
        <f t="shared" si="282"/>
        <v>5.2483584421174137E-3</v>
      </c>
      <c r="BJ200" s="463">
        <f t="shared" si="283"/>
        <v>5.9667558459725024E-4</v>
      </c>
      <c r="BK200" s="463">
        <f t="shared" si="284"/>
        <v>2.0517582603051011E-3</v>
      </c>
      <c r="BL200">
        <f t="shared" si="285"/>
        <v>2.6099999999999999E-3</v>
      </c>
      <c r="BM200">
        <f t="shared" si="329"/>
        <v>4.7734046767780022E-7</v>
      </c>
      <c r="BN200">
        <f t="shared" si="330"/>
        <v>5.5350151254930126E-2</v>
      </c>
      <c r="BO200" s="147">
        <f t="shared" si="286"/>
        <v>49.663627526214313</v>
      </c>
      <c r="BP200" s="153">
        <f t="shared" si="287"/>
        <v>3.6000000000000004E-2</v>
      </c>
      <c r="BQ200" s="153">
        <f t="shared" si="288"/>
        <v>3.6000000000000004E-2</v>
      </c>
      <c r="BR200" s="463"/>
      <c r="BT200" s="147">
        <f t="shared" si="289"/>
        <v>72.000000000000014</v>
      </c>
      <c r="BU200" s="463">
        <f t="shared" si="290"/>
        <v>8.9501337689587554E-2</v>
      </c>
      <c r="BV200" s="463">
        <f t="shared" si="291"/>
        <v>6.0196168998860398E-2</v>
      </c>
      <c r="BW200" s="463">
        <f t="shared" si="292"/>
        <v>3.7515683368113898E-3</v>
      </c>
      <c r="BX200" s="463">
        <f t="shared" si="293"/>
        <v>0</v>
      </c>
      <c r="BY200" s="463">
        <f t="shared" si="274"/>
        <v>0.17399896241532947</v>
      </c>
      <c r="BZ200" s="463">
        <f t="shared" si="344"/>
        <v>0.15344907502525934</v>
      </c>
      <c r="CA200" s="549">
        <f t="shared" si="331"/>
        <v>4.0275601960314392E-2</v>
      </c>
      <c r="CB200" s="147">
        <f t="shared" si="338"/>
        <v>521.17271442616254</v>
      </c>
      <c r="CC200" s="153">
        <f t="shared" si="345"/>
        <v>0.34162471563057401</v>
      </c>
      <c r="CD200" s="5">
        <f t="shared" si="339"/>
        <v>2.8536016371077757</v>
      </c>
      <c r="CE200" s="153">
        <f t="shared" si="340"/>
        <v>0.89308278102495087</v>
      </c>
      <c r="CF200" s="5">
        <f t="shared" si="341"/>
        <v>89.30827810249508</v>
      </c>
      <c r="CG200">
        <f t="shared" si="342"/>
        <v>90</v>
      </c>
      <c r="CI200" s="59">
        <f t="shared" si="332"/>
        <v>-50</v>
      </c>
      <c r="CJ200">
        <f t="shared" si="333"/>
        <v>-50</v>
      </c>
    </row>
    <row r="201" spans="5:88" x14ac:dyDescent="0.25">
      <c r="E201" s="150">
        <v>91</v>
      </c>
      <c r="F201" s="191">
        <f t="shared" si="334"/>
        <v>9.1000000000000011E-2</v>
      </c>
      <c r="G201" s="191">
        <f t="shared" si="299"/>
        <v>9.1000000000000011E-2</v>
      </c>
      <c r="H201" s="191">
        <f t="shared" si="300"/>
        <v>1.8200000000000003</v>
      </c>
      <c r="I201" s="191">
        <f t="shared" si="301"/>
        <v>1.4560000000000002</v>
      </c>
      <c r="J201" s="472">
        <f t="shared" si="302"/>
        <v>9</v>
      </c>
      <c r="K201" s="386">
        <f t="shared" si="303"/>
        <v>13.171745798539792</v>
      </c>
      <c r="L201" s="386">
        <f t="shared" si="304"/>
        <v>29.32</v>
      </c>
      <c r="M201" s="386"/>
      <c r="N201" s="191">
        <f t="shared" si="305"/>
        <v>0.69304229195088674</v>
      </c>
      <c r="O201" s="152">
        <f t="shared" si="306"/>
        <v>1.1695088676671213</v>
      </c>
      <c r="P201" s="152">
        <f t="shared" si="307"/>
        <v>1.6840927694406547</v>
      </c>
      <c r="Q201" s="191">
        <f t="shared" si="308"/>
        <v>5.8475443383356064E-2</v>
      </c>
      <c r="R201" s="191">
        <f t="shared" si="309"/>
        <v>7.3094304229195078E-2</v>
      </c>
      <c r="S201" s="191">
        <f t="shared" si="310"/>
        <v>12.851745798539792</v>
      </c>
      <c r="T201" s="191">
        <f t="shared" si="311"/>
        <v>0.75</v>
      </c>
      <c r="U201" s="191">
        <f t="shared" si="312"/>
        <v>12.499999999999998</v>
      </c>
      <c r="V201" s="191">
        <f t="shared" si="313"/>
        <v>8.5410090447138494</v>
      </c>
      <c r="W201" s="175">
        <f t="shared" si="314"/>
        <v>237.63118913995976</v>
      </c>
      <c r="X201" s="386">
        <f t="shared" si="315"/>
        <v>47.526237827991949</v>
      </c>
      <c r="Z201" s="191">
        <f t="shared" si="316"/>
        <v>0.15000000000000002</v>
      </c>
      <c r="AA201" s="153">
        <f t="shared" si="317"/>
        <v>1.70820180894277</v>
      </c>
      <c r="AB201" s="153">
        <f t="shared" si="318"/>
        <v>1.6913417797920865E-2</v>
      </c>
      <c r="AC201" s="153"/>
      <c r="AD201" s="153">
        <f t="shared" si="319"/>
        <v>1.7082018089427695</v>
      </c>
      <c r="AE201" s="317">
        <f t="shared" si="320"/>
        <v>710.29858824718315</v>
      </c>
      <c r="AF201" s="463">
        <f t="shared" si="321"/>
        <v>3.0444152036257548E-2</v>
      </c>
      <c r="AH201" s="153">
        <f t="shared" si="322"/>
        <v>0.35327043465311392</v>
      </c>
      <c r="AI201" s="153">
        <f t="shared" si="323"/>
        <v>0.75</v>
      </c>
      <c r="AJ201" s="153">
        <f t="shared" si="324"/>
        <v>1.6444444444444444</v>
      </c>
      <c r="AL201" s="317">
        <f t="shared" si="325"/>
        <v>91.000000000000014</v>
      </c>
      <c r="AM201" s="147">
        <f t="shared" si="326"/>
        <v>47.526237827991949</v>
      </c>
      <c r="AO201" t="str">
        <f t="shared" si="327"/>
        <v/>
      </c>
      <c r="AP201" t="str">
        <f t="shared" si="328"/>
        <v/>
      </c>
      <c r="AR201" s="5">
        <f t="shared" si="343"/>
        <v>21.041009044713846</v>
      </c>
      <c r="AS201" s="5">
        <f t="shared" si="335"/>
        <v>12.499999999999998</v>
      </c>
      <c r="AT201" s="5">
        <f t="shared" si="336"/>
        <v>8.5410090447138476</v>
      </c>
      <c r="AU201" s="153">
        <f t="shared" si="337"/>
        <v>0.59407797284989927</v>
      </c>
      <c r="AW201" s="5">
        <f t="shared" si="275"/>
        <v>5.6875</v>
      </c>
      <c r="AX201" s="5"/>
      <c r="AY201" s="5">
        <f t="shared" si="276"/>
        <v>7.1093749999999991</v>
      </c>
      <c r="AZ201" s="5"/>
      <c r="BA201" s="5">
        <f t="shared" si="277"/>
        <v>1.9190909211579266</v>
      </c>
      <c r="BB201" s="5"/>
      <c r="BC201" s="5"/>
      <c r="BD201" s="153">
        <f t="shared" si="278"/>
        <v>0.33375083506915171</v>
      </c>
      <c r="BE201" s="153">
        <f t="shared" si="279"/>
        <v>0.27588109774075481</v>
      </c>
      <c r="BF201" s="153">
        <f t="shared" si="280"/>
        <v>0.27479921108294797</v>
      </c>
      <c r="BG201" s="153"/>
      <c r="BH201" s="463">
        <f t="shared" si="281"/>
        <v>3.8986366968274636E-2</v>
      </c>
      <c r="BI201" s="463">
        <f t="shared" si="282"/>
        <v>5.2255098491877155E-3</v>
      </c>
      <c r="BJ201" s="463">
        <f t="shared" si="283"/>
        <v>5.9407797284989931E-4</v>
      </c>
      <c r="BK201" s="463">
        <f t="shared" si="284"/>
        <v>2.0428259837091175E-3</v>
      </c>
      <c r="BL201">
        <f t="shared" si="285"/>
        <v>2.6099999999999999E-3</v>
      </c>
      <c r="BM201">
        <f t="shared" si="329"/>
        <v>4.7526237827991949E-7</v>
      </c>
      <c r="BN201">
        <f t="shared" si="330"/>
        <v>5.5118884873000519E-2</v>
      </c>
      <c r="BO201" s="147">
        <f t="shared" si="286"/>
        <v>49.458780774021371</v>
      </c>
      <c r="BP201" s="153">
        <f t="shared" si="287"/>
        <v>3.6400000000000009E-2</v>
      </c>
      <c r="BQ201" s="153">
        <f t="shared" si="288"/>
        <v>3.6400000000000009E-2</v>
      </c>
      <c r="BR201" s="463"/>
      <c r="BT201" s="147">
        <f t="shared" si="289"/>
        <v>72.800000000000011</v>
      </c>
      <c r="BU201" s="463">
        <f t="shared" si="290"/>
        <v>8.9111695927484885E-2</v>
      </c>
      <c r="BV201" s="463">
        <f t="shared" si="291"/>
        <v>6.0583862552152562E-2</v>
      </c>
      <c r="BW201" s="463">
        <f t="shared" si="292"/>
        <v>3.77573032059053E-3</v>
      </c>
      <c r="BX201" s="463">
        <f t="shared" si="293"/>
        <v>0</v>
      </c>
      <c r="BY201" s="463">
        <f t="shared" si="274"/>
        <v>0.17402446416004827</v>
      </c>
      <c r="BZ201" s="463">
        <f t="shared" si="344"/>
        <v>0.15347128880022798</v>
      </c>
      <c r="CA201" s="549">
        <f t="shared" si="331"/>
        <v>4.0100263167368207E-2</v>
      </c>
      <c r="CB201" s="147">
        <f t="shared" si="338"/>
        <v>521.06730492787244</v>
      </c>
      <c r="CC201" s="153">
        <f t="shared" si="345"/>
        <v>0.34204361220041701</v>
      </c>
      <c r="CD201" s="5">
        <f t="shared" si="339"/>
        <v>2.8536016371077757</v>
      </c>
      <c r="CE201" s="153">
        <f t="shared" si="340"/>
        <v>0.89296571255070822</v>
      </c>
      <c r="CF201" s="5">
        <f t="shared" si="341"/>
        <v>89.296571255070816</v>
      </c>
      <c r="CG201">
        <f t="shared" si="342"/>
        <v>91</v>
      </c>
      <c r="CI201" s="59">
        <f t="shared" si="332"/>
        <v>-50</v>
      </c>
      <c r="CJ201">
        <f t="shared" si="333"/>
        <v>-50</v>
      </c>
    </row>
    <row r="202" spans="5:88" x14ac:dyDescent="0.25">
      <c r="E202" s="150">
        <v>92</v>
      </c>
      <c r="F202" s="191">
        <f t="shared" si="334"/>
        <v>9.2000000000000012E-2</v>
      </c>
      <c r="G202" s="191">
        <f t="shared" si="299"/>
        <v>9.2000000000000012E-2</v>
      </c>
      <c r="H202" s="191">
        <f t="shared" si="300"/>
        <v>1.8400000000000003</v>
      </c>
      <c r="I202" s="191">
        <f t="shared" si="301"/>
        <v>1.4720000000000002</v>
      </c>
      <c r="J202" s="472">
        <f t="shared" si="302"/>
        <v>9</v>
      </c>
      <c r="K202" s="386">
        <f t="shared" si="303"/>
        <v>13.03205290942523</v>
      </c>
      <c r="L202" s="386">
        <f t="shared" si="304"/>
        <v>29.32</v>
      </c>
      <c r="M202" s="386"/>
      <c r="N202" s="191">
        <f t="shared" si="305"/>
        <v>0.69304229195088674</v>
      </c>
      <c r="O202" s="152">
        <f t="shared" si="306"/>
        <v>1.1695088676671213</v>
      </c>
      <c r="P202" s="152">
        <f t="shared" si="307"/>
        <v>1.6840927694406547</v>
      </c>
      <c r="Q202" s="191">
        <f t="shared" si="308"/>
        <v>5.8475443383356064E-2</v>
      </c>
      <c r="R202" s="191">
        <f t="shared" si="309"/>
        <v>7.3094304229195078E-2</v>
      </c>
      <c r="S202" s="191">
        <f t="shared" si="310"/>
        <v>12.71205290942523</v>
      </c>
      <c r="T202" s="191">
        <f t="shared" si="311"/>
        <v>0.75</v>
      </c>
      <c r="U202" s="191">
        <f t="shared" si="312"/>
        <v>12.499999999999998</v>
      </c>
      <c r="V202" s="191">
        <f t="shared" si="313"/>
        <v>8.6325616372103688</v>
      </c>
      <c r="W202" s="175">
        <f t="shared" si="314"/>
        <v>236.60169958742554</v>
      </c>
      <c r="X202" s="386">
        <f t="shared" si="315"/>
        <v>47.320339917485107</v>
      </c>
      <c r="Z202" s="191">
        <f t="shared" si="316"/>
        <v>0.15</v>
      </c>
      <c r="AA202" s="153">
        <f t="shared" si="317"/>
        <v>1.7265123274420733</v>
      </c>
      <c r="AB202" s="153">
        <f t="shared" si="318"/>
        <v>1.7020656292976513E-2</v>
      </c>
      <c r="AC202" s="153"/>
      <c r="AD202" s="153">
        <f t="shared" si="319"/>
        <v>1.7265123274420733</v>
      </c>
      <c r="AE202" s="317">
        <f t="shared" si="320"/>
        <v>710.48821787681277</v>
      </c>
      <c r="AF202" s="463">
        <f t="shared" si="321"/>
        <v>3.0637181327357724E-2</v>
      </c>
      <c r="AH202" s="153">
        <f t="shared" si="322"/>
        <v>0.35520617755245842</v>
      </c>
      <c r="AI202" s="153">
        <f t="shared" si="323"/>
        <v>0.75</v>
      </c>
      <c r="AJ202" s="153">
        <f t="shared" si="324"/>
        <v>1.6444444444444444</v>
      </c>
      <c r="AL202" s="317">
        <f t="shared" si="325"/>
        <v>92.000000000000014</v>
      </c>
      <c r="AM202" s="147">
        <f t="shared" si="326"/>
        <v>47.320339917485107</v>
      </c>
      <c r="AO202" t="str">
        <f t="shared" si="327"/>
        <v/>
      </c>
      <c r="AP202" t="str">
        <f t="shared" si="328"/>
        <v/>
      </c>
      <c r="AR202" s="5">
        <f t="shared" si="343"/>
        <v>21.132561637210362</v>
      </c>
      <c r="AS202" s="5">
        <f t="shared" si="335"/>
        <v>12.499999999999998</v>
      </c>
      <c r="AT202" s="5">
        <f t="shared" si="336"/>
        <v>8.6325616372103635</v>
      </c>
      <c r="AU202" s="153">
        <f t="shared" si="337"/>
        <v>0.59150424896856379</v>
      </c>
      <c r="AW202" s="5">
        <f t="shared" si="275"/>
        <v>5.75</v>
      </c>
      <c r="AX202" s="5"/>
      <c r="AY202" s="5">
        <f t="shared" si="276"/>
        <v>7.1874999999999991</v>
      </c>
      <c r="AZ202" s="5"/>
      <c r="BA202" s="5">
        <f t="shared" si="277"/>
        <v>1.9609769645021076</v>
      </c>
      <c r="BB202" s="5"/>
      <c r="BC202" s="5"/>
      <c r="BD202" s="153">
        <f t="shared" si="278"/>
        <v>0.33302709601713448</v>
      </c>
      <c r="BE202" s="153">
        <f t="shared" si="279"/>
        <v>0.27675431942138551</v>
      </c>
      <c r="BF202" s="153">
        <f t="shared" si="280"/>
        <v>0.2756690083648311</v>
      </c>
      <c r="BG202" s="153"/>
      <c r="BH202" s="463">
        <f t="shared" si="281"/>
        <v>3.8817466338562E-2</v>
      </c>
      <c r="BI202" s="463">
        <f t="shared" si="282"/>
        <v>5.2028713739274883E-3</v>
      </c>
      <c r="BJ202" s="463">
        <f t="shared" si="283"/>
        <v>5.9150424896856383E-4</v>
      </c>
      <c r="BK202" s="463">
        <f t="shared" si="284"/>
        <v>2.0339758491140529E-3</v>
      </c>
      <c r="BL202">
        <f t="shared" si="285"/>
        <v>2.6099999999999999E-3</v>
      </c>
      <c r="BM202">
        <f t="shared" si="329"/>
        <v>4.7320339917485108E-7</v>
      </c>
      <c r="BN202">
        <f t="shared" si="330"/>
        <v>5.4889759687795005E-2</v>
      </c>
      <c r="BO202" s="147">
        <f t="shared" si="286"/>
        <v>49.255817810572104</v>
      </c>
      <c r="BP202" s="153">
        <f t="shared" si="287"/>
        <v>3.6800000000000006E-2</v>
      </c>
      <c r="BQ202" s="153">
        <f t="shared" si="288"/>
        <v>3.6800000000000006E-2</v>
      </c>
      <c r="BR202" s="463"/>
      <c r="BT202" s="147">
        <f t="shared" si="289"/>
        <v>73.600000000000009</v>
      </c>
      <c r="BU202" s="463">
        <f t="shared" si="290"/>
        <v>8.8725637345284575E-2</v>
      </c>
      <c r="BV202" s="463">
        <f t="shared" si="291"/>
        <v>6.0967990841441846E-2</v>
      </c>
      <c r="BW202" s="463">
        <f t="shared" si="292"/>
        <v>3.7996701086424663E-3</v>
      </c>
      <c r="BX202" s="463">
        <f t="shared" si="293"/>
        <v>0</v>
      </c>
      <c r="BY202" s="463">
        <f t="shared" si="274"/>
        <v>0.17404973147898381</v>
      </c>
      <c r="BZ202" s="463">
        <f t="shared" si="344"/>
        <v>0.1534932982953689</v>
      </c>
      <c r="CA202" s="549">
        <f t="shared" si="331"/>
        <v>3.9926536805378061E-2</v>
      </c>
      <c r="CB202" s="147">
        <f t="shared" si="338"/>
        <v>520.96286487509974</v>
      </c>
      <c r="CC202" s="153">
        <f t="shared" si="345"/>
        <v>0.34246602797215686</v>
      </c>
      <c r="CD202" s="5">
        <f t="shared" si="339"/>
        <v>2.8536016371077757</v>
      </c>
      <c r="CE202" s="153">
        <f t="shared" si="340"/>
        <v>0.89284769164497901</v>
      </c>
      <c r="CF202" s="5">
        <f t="shared" si="341"/>
        <v>89.284769164497902</v>
      </c>
      <c r="CG202">
        <f t="shared" si="342"/>
        <v>92</v>
      </c>
      <c r="CI202" s="59">
        <f t="shared" si="332"/>
        <v>-50</v>
      </c>
      <c r="CJ202">
        <f t="shared" si="333"/>
        <v>-50</v>
      </c>
    </row>
    <row r="203" spans="5:88" x14ac:dyDescent="0.25">
      <c r="E203" s="150">
        <v>93</v>
      </c>
      <c r="F203" s="191">
        <f t="shared" si="334"/>
        <v>9.3000000000000013E-2</v>
      </c>
      <c r="G203" s="191">
        <f t="shared" si="299"/>
        <v>9.3000000000000013E-2</v>
      </c>
      <c r="H203" s="191">
        <f t="shared" si="300"/>
        <v>1.8600000000000003</v>
      </c>
      <c r="I203" s="191">
        <f t="shared" si="301"/>
        <v>1.4880000000000002</v>
      </c>
      <c r="J203" s="472">
        <f t="shared" si="302"/>
        <v>9</v>
      </c>
      <c r="K203" s="386">
        <f t="shared" si="303"/>
        <v>12.895364168463669</v>
      </c>
      <c r="L203" s="386">
        <f t="shared" si="304"/>
        <v>29.32</v>
      </c>
      <c r="M203" s="386"/>
      <c r="N203" s="191">
        <f t="shared" si="305"/>
        <v>0.69304229195088674</v>
      </c>
      <c r="O203" s="152">
        <f t="shared" si="306"/>
        <v>1.1695088676671213</v>
      </c>
      <c r="P203" s="152">
        <f t="shared" si="307"/>
        <v>1.6840927694406547</v>
      </c>
      <c r="Q203" s="191">
        <f t="shared" si="308"/>
        <v>5.8475443383356064E-2</v>
      </c>
      <c r="R203" s="191">
        <f t="shared" si="309"/>
        <v>7.3094304229195078E-2</v>
      </c>
      <c r="S203" s="191">
        <f t="shared" si="310"/>
        <v>12.575364168463668</v>
      </c>
      <c r="T203" s="191">
        <f t="shared" si="311"/>
        <v>0.75</v>
      </c>
      <c r="U203" s="191">
        <f t="shared" si="312"/>
        <v>12.499999999999998</v>
      </c>
      <c r="V203" s="191">
        <f t="shared" si="313"/>
        <v>8.7240653718896137</v>
      </c>
      <c r="W203" s="175">
        <f t="shared" si="314"/>
        <v>235.58163397961883</v>
      </c>
      <c r="X203" s="386">
        <f t="shared" si="315"/>
        <v>47.116326795923754</v>
      </c>
      <c r="Z203" s="191">
        <f t="shared" si="316"/>
        <v>0.14999999999999997</v>
      </c>
      <c r="AA203" s="153">
        <f t="shared" si="317"/>
        <v>1.7448130743779224</v>
      </c>
      <c r="AB203" s="153">
        <f t="shared" si="318"/>
        <v>1.7126913127123045E-2</v>
      </c>
      <c r="AC203" s="153"/>
      <c r="AD203" s="153">
        <f t="shared" si="319"/>
        <v>1.7448130743779227</v>
      </c>
      <c r="AE203" s="317">
        <f t="shared" si="320"/>
        <v>710.67784750644239</v>
      </c>
      <c r="AF203" s="463">
        <f t="shared" si="321"/>
        <v>3.0828443628821495E-2</v>
      </c>
      <c r="AH203" s="153">
        <f t="shared" si="322"/>
        <v>0.35713142838856565</v>
      </c>
      <c r="AI203" s="153">
        <f t="shared" si="323"/>
        <v>0.75</v>
      </c>
      <c r="AJ203" s="153">
        <f t="shared" si="324"/>
        <v>1.6444444444444444</v>
      </c>
      <c r="AL203" s="317">
        <f t="shared" si="325"/>
        <v>93.000000000000014</v>
      </c>
      <c r="AM203" s="147">
        <f t="shared" si="326"/>
        <v>47.116326795923754</v>
      </c>
      <c r="AO203" t="str">
        <f t="shared" si="327"/>
        <v/>
      </c>
      <c r="AP203" t="str">
        <f t="shared" si="328"/>
        <v/>
      </c>
      <c r="AR203" s="5">
        <f t="shared" si="343"/>
        <v>21.224065371889612</v>
      </c>
      <c r="AS203" s="5">
        <f t="shared" si="335"/>
        <v>12.499999999999998</v>
      </c>
      <c r="AT203" s="5">
        <f t="shared" si="336"/>
        <v>8.7240653718896137</v>
      </c>
      <c r="AU203" s="153">
        <f t="shared" si="337"/>
        <v>0.58895408494904689</v>
      </c>
      <c r="AW203" s="5">
        <f t="shared" si="275"/>
        <v>5.8125000000000009</v>
      </c>
      <c r="AX203" s="5"/>
      <c r="AY203" s="5">
        <f t="shared" si="276"/>
        <v>7.265625</v>
      </c>
      <c r="AZ203" s="5"/>
      <c r="BA203" s="5">
        <f t="shared" si="277"/>
        <v>2.0033039002116895</v>
      </c>
      <c r="BB203" s="5"/>
      <c r="BC203" s="5"/>
      <c r="BD203" s="153">
        <f t="shared" si="278"/>
        <v>0.33230842741035971</v>
      </c>
      <c r="BE203" s="153">
        <f t="shared" si="279"/>
        <v>0.27761683859602915</v>
      </c>
      <c r="BF203" s="153">
        <f t="shared" si="280"/>
        <v>0.27652814511133889</v>
      </c>
      <c r="BG203" s="153"/>
      <c r="BH203" s="463">
        <f t="shared" si="281"/>
        <v>3.8650111824781203E-2</v>
      </c>
      <c r="BI203" s="463">
        <f t="shared" si="282"/>
        <v>5.1804401312118172E-3</v>
      </c>
      <c r="BJ203" s="463">
        <f t="shared" si="283"/>
        <v>5.8895408494904697E-4</v>
      </c>
      <c r="BK203" s="463">
        <f t="shared" si="284"/>
        <v>2.0252067286284066E-3</v>
      </c>
      <c r="BL203">
        <f t="shared" si="285"/>
        <v>2.6099999999999999E-3</v>
      </c>
      <c r="BM203">
        <f t="shared" si="329"/>
        <v>4.7116326795923753E-7</v>
      </c>
      <c r="BN203">
        <f t="shared" si="330"/>
        <v>5.4662746099698747E-2</v>
      </c>
      <c r="BO203" s="147">
        <f t="shared" si="286"/>
        <v>49.054712769570479</v>
      </c>
      <c r="BP203" s="153">
        <f t="shared" si="287"/>
        <v>3.7200000000000004E-2</v>
      </c>
      <c r="BQ203" s="153">
        <f t="shared" si="288"/>
        <v>3.7200000000000004E-2</v>
      </c>
      <c r="BR203" s="463"/>
      <c r="BT203" s="147">
        <f t="shared" si="289"/>
        <v>74.400000000000006</v>
      </c>
      <c r="BU203" s="463">
        <f t="shared" si="290"/>
        <v>8.8343112742357052E-2</v>
      </c>
      <c r="BV203" s="463">
        <f t="shared" si="291"/>
        <v>6.1348602821354743E-2</v>
      </c>
      <c r="BW203" s="463">
        <f t="shared" si="292"/>
        <v>3.8233907519358845E-3</v>
      </c>
      <c r="BX203" s="463">
        <f t="shared" si="293"/>
        <v>0</v>
      </c>
      <c r="BY203" s="463">
        <f t="shared" si="274"/>
        <v>0.17407476758979901</v>
      </c>
      <c r="BZ203" s="463">
        <f t="shared" si="344"/>
        <v>0.15351510631564769</v>
      </c>
      <c r="CA203" s="549">
        <f t="shared" si="331"/>
        <v>3.9754400734060669E-2</v>
      </c>
      <c r="CB203" s="147">
        <f t="shared" si="338"/>
        <v>520.85938095515507</v>
      </c>
      <c r="CC203" s="153">
        <f t="shared" si="345"/>
        <v>0.34289191442355843</v>
      </c>
      <c r="CD203" s="5">
        <f t="shared" si="339"/>
        <v>2.8536016371077757</v>
      </c>
      <c r="CE203" s="153">
        <f t="shared" si="340"/>
        <v>0.89272873262663388</v>
      </c>
      <c r="CF203" s="5">
        <f t="shared" si="341"/>
        <v>89.272873262663381</v>
      </c>
      <c r="CG203">
        <f t="shared" si="342"/>
        <v>93</v>
      </c>
      <c r="CI203" s="59">
        <f t="shared" si="332"/>
        <v>-50</v>
      </c>
      <c r="CJ203">
        <f t="shared" si="333"/>
        <v>-50</v>
      </c>
    </row>
    <row r="204" spans="5:88" x14ac:dyDescent="0.25">
      <c r="E204" s="150">
        <v>94</v>
      </c>
      <c r="F204" s="191">
        <f t="shared" si="334"/>
        <v>9.4E-2</v>
      </c>
      <c r="G204" s="191">
        <f t="shared" si="299"/>
        <v>9.4E-2</v>
      </c>
      <c r="H204" s="191">
        <f t="shared" si="300"/>
        <v>1.88</v>
      </c>
      <c r="I204" s="191">
        <f t="shared" si="301"/>
        <v>1.504</v>
      </c>
      <c r="J204" s="472">
        <f t="shared" si="302"/>
        <v>9</v>
      </c>
      <c r="K204" s="386">
        <f t="shared" si="303"/>
        <v>12.761583698586396</v>
      </c>
      <c r="L204" s="386">
        <f t="shared" si="304"/>
        <v>29.32</v>
      </c>
      <c r="M204" s="386"/>
      <c r="N204" s="191">
        <f t="shared" si="305"/>
        <v>0.69304229195088674</v>
      </c>
      <c r="O204" s="152">
        <f t="shared" si="306"/>
        <v>1.1695088676671213</v>
      </c>
      <c r="P204" s="152">
        <f t="shared" si="307"/>
        <v>1.6840927694406547</v>
      </c>
      <c r="Q204" s="191">
        <f t="shared" si="308"/>
        <v>5.8475443383356064E-2</v>
      </c>
      <c r="R204" s="191">
        <f t="shared" si="309"/>
        <v>7.3094304229195078E-2</v>
      </c>
      <c r="S204" s="191">
        <f t="shared" si="310"/>
        <v>12.441583698586395</v>
      </c>
      <c r="T204" s="191">
        <f t="shared" si="311"/>
        <v>0.75</v>
      </c>
      <c r="U204" s="191">
        <f t="shared" si="312"/>
        <v>12.499999999999998</v>
      </c>
      <c r="V204" s="191">
        <f t="shared" si="313"/>
        <v>8.8155202878512373</v>
      </c>
      <c r="W204" s="175">
        <f t="shared" si="314"/>
        <v>234.57086350595657</v>
      </c>
      <c r="X204" s="386">
        <f t="shared" si="315"/>
        <v>46.914172701191312</v>
      </c>
      <c r="Z204" s="191">
        <f t="shared" si="316"/>
        <v>0.15</v>
      </c>
      <c r="AA204" s="153">
        <f t="shared" si="317"/>
        <v>1.7631040575702472</v>
      </c>
      <c r="AB204" s="153">
        <f t="shared" si="318"/>
        <v>1.7232201718129527E-2</v>
      </c>
      <c r="AC204" s="153"/>
      <c r="AD204" s="153">
        <f t="shared" si="319"/>
        <v>1.7631040575702472</v>
      </c>
      <c r="AE204" s="317">
        <f t="shared" si="320"/>
        <v>710.86747713607201</v>
      </c>
      <c r="AF204" s="463">
        <f t="shared" si="321"/>
        <v>3.1017963092633147E-2</v>
      </c>
      <c r="AH204" s="153">
        <f t="shared" si="322"/>
        <v>0.3590463559406859</v>
      </c>
      <c r="AI204" s="153">
        <f t="shared" si="323"/>
        <v>0.75</v>
      </c>
      <c r="AJ204" s="153">
        <f t="shared" si="324"/>
        <v>1.6444444444444444</v>
      </c>
      <c r="AL204" s="317">
        <f t="shared" si="325"/>
        <v>94</v>
      </c>
      <c r="AM204" s="147">
        <f t="shared" si="326"/>
        <v>46.914172701191312</v>
      </c>
      <c r="AO204" t="str">
        <f t="shared" si="327"/>
        <v/>
      </c>
      <c r="AP204" t="str">
        <f t="shared" si="328"/>
        <v/>
      </c>
      <c r="AR204" s="5">
        <f t="shared" si="343"/>
        <v>21.315520287851236</v>
      </c>
      <c r="AS204" s="5">
        <f t="shared" si="335"/>
        <v>12.499999999999998</v>
      </c>
      <c r="AT204" s="5">
        <f t="shared" si="336"/>
        <v>8.8155202878512373</v>
      </c>
      <c r="AU204" s="153">
        <f t="shared" si="337"/>
        <v>0.58642715876489127</v>
      </c>
      <c r="AW204" s="5">
        <f t="shared" si="275"/>
        <v>5.8749999999999991</v>
      </c>
      <c r="AX204" s="5"/>
      <c r="AY204" s="5">
        <f t="shared" si="276"/>
        <v>7.3437499999999991</v>
      </c>
      <c r="AZ204" s="5"/>
      <c r="BA204" s="5">
        <f t="shared" si="277"/>
        <v>2.0460713754518918</v>
      </c>
      <c r="BB204" s="5"/>
      <c r="BC204" s="5"/>
      <c r="BD204" s="153">
        <f t="shared" si="278"/>
        <v>0.3315947711717076</v>
      </c>
      <c r="BE204" s="153">
        <f t="shared" si="279"/>
        <v>0.27846886312760877</v>
      </c>
      <c r="BF204" s="153">
        <f t="shared" si="280"/>
        <v>0.27737682837024558</v>
      </c>
      <c r="BG204" s="153"/>
      <c r="BH204" s="463">
        <f t="shared" si="281"/>
        <v>3.8484282293945994E-2</v>
      </c>
      <c r="BI204" s="463">
        <f t="shared" si="282"/>
        <v>5.1582132884959858E-3</v>
      </c>
      <c r="BJ204" s="463">
        <f t="shared" si="283"/>
        <v>5.8642715876489136E-4</v>
      </c>
      <c r="BK204" s="463">
        <f t="shared" si="284"/>
        <v>2.0165175149160306E-3</v>
      </c>
      <c r="BL204">
        <f t="shared" si="285"/>
        <v>2.6099999999999999E-3</v>
      </c>
      <c r="BM204">
        <f t="shared" si="329"/>
        <v>4.6914172701191314E-7</v>
      </c>
      <c r="BN204">
        <f t="shared" si="330"/>
        <v>5.4437815052169318E-2</v>
      </c>
      <c r="BO204" s="147">
        <f t="shared" si="286"/>
        <v>48.855440256122904</v>
      </c>
      <c r="BP204" s="153">
        <f t="shared" si="287"/>
        <v>3.7600000000000001E-2</v>
      </c>
      <c r="BQ204" s="153">
        <f t="shared" si="288"/>
        <v>3.7600000000000001E-2</v>
      </c>
      <c r="BR204" s="463"/>
      <c r="BT204" s="147">
        <f t="shared" si="289"/>
        <v>75.2</v>
      </c>
      <c r="BU204" s="463">
        <f t="shared" si="290"/>
        <v>8.7964073814733701E-2</v>
      </c>
      <c r="BV204" s="463">
        <f t="shared" si="291"/>
        <v>6.1725746554339996E-2</v>
      </c>
      <c r="BW204" s="463">
        <f t="shared" si="292"/>
        <v>3.8468952458368339E-3</v>
      </c>
      <c r="BX204" s="463">
        <f t="shared" si="293"/>
        <v>0</v>
      </c>
      <c r="BY204" s="463">
        <f t="shared" si="274"/>
        <v>0.17409957565153875</v>
      </c>
      <c r="BZ204" s="463">
        <f t="shared" si="344"/>
        <v>0.15353671561491053</v>
      </c>
      <c r="CA204" s="549">
        <f t="shared" si="331"/>
        <v>3.9583833216630171E-2</v>
      </c>
      <c r="CB204" s="147">
        <f t="shared" si="338"/>
        <v>520.75684009798999</v>
      </c>
      <c r="CC204" s="153">
        <f t="shared" si="345"/>
        <v>0.34332122392033826</v>
      </c>
      <c r="CD204" s="5">
        <f t="shared" si="339"/>
        <v>2.8536016371077757</v>
      </c>
      <c r="CE204" s="153">
        <f t="shared" si="340"/>
        <v>0.89260884955793773</v>
      </c>
      <c r="CF204" s="5">
        <f t="shared" si="341"/>
        <v>89.26088495579377</v>
      </c>
      <c r="CG204">
        <f t="shared" si="342"/>
        <v>94</v>
      </c>
      <c r="CI204" s="59">
        <f t="shared" si="332"/>
        <v>-50</v>
      </c>
      <c r="CJ204">
        <f t="shared" si="333"/>
        <v>-50</v>
      </c>
    </row>
    <row r="205" spans="5:88" x14ac:dyDescent="0.25">
      <c r="E205" s="150">
        <v>95</v>
      </c>
      <c r="F205" s="191">
        <f t="shared" si="334"/>
        <v>9.5000000000000001E-2</v>
      </c>
      <c r="G205" s="191">
        <f t="shared" si="299"/>
        <v>9.5000000000000001E-2</v>
      </c>
      <c r="H205" s="191">
        <f t="shared" si="300"/>
        <v>1.9</v>
      </c>
      <c r="I205" s="191">
        <f t="shared" si="301"/>
        <v>1.52</v>
      </c>
      <c r="J205" s="472">
        <f t="shared" si="302"/>
        <v>9</v>
      </c>
      <c r="K205" s="386">
        <f t="shared" si="303"/>
        <v>12.630619659653908</v>
      </c>
      <c r="L205" s="386">
        <f t="shared" si="304"/>
        <v>29.32</v>
      </c>
      <c r="M205" s="386"/>
      <c r="N205" s="191">
        <f t="shared" si="305"/>
        <v>0.69304229195088674</v>
      </c>
      <c r="O205" s="152">
        <f t="shared" si="306"/>
        <v>1.1695088676671213</v>
      </c>
      <c r="P205" s="152">
        <f t="shared" si="307"/>
        <v>1.6840927694406547</v>
      </c>
      <c r="Q205" s="191">
        <f t="shared" si="308"/>
        <v>5.8475443383356064E-2</v>
      </c>
      <c r="R205" s="191">
        <f t="shared" si="309"/>
        <v>7.3094304229195078E-2</v>
      </c>
      <c r="S205" s="191">
        <f t="shared" si="310"/>
        <v>12.310619659653907</v>
      </c>
      <c r="T205" s="191">
        <f t="shared" si="311"/>
        <v>0.75</v>
      </c>
      <c r="U205" s="191">
        <f t="shared" si="312"/>
        <v>12.499999999999998</v>
      </c>
      <c r="V205" s="191">
        <f t="shared" si="313"/>
        <v>8.9069264241531769</v>
      </c>
      <c r="W205" s="175">
        <f t="shared" si="314"/>
        <v>233.56926169272768</v>
      </c>
      <c r="X205" s="386">
        <f t="shared" si="315"/>
        <v>46.713852338545529</v>
      </c>
      <c r="Z205" s="191">
        <f t="shared" si="316"/>
        <v>0.15</v>
      </c>
      <c r="AA205" s="153">
        <f t="shared" si="317"/>
        <v>1.7813852848306353</v>
      </c>
      <c r="AB205" s="153">
        <f t="shared" si="318"/>
        <v>1.7336535240340869E-2</v>
      </c>
      <c r="AC205" s="153"/>
      <c r="AD205" s="153">
        <f t="shared" si="319"/>
        <v>1.7813852848306353</v>
      </c>
      <c r="AE205" s="317">
        <f t="shared" si="320"/>
        <v>711.05710676570152</v>
      </c>
      <c r="AF205" s="463">
        <f t="shared" si="321"/>
        <v>3.1205763432613564E-2</v>
      </c>
      <c r="AH205" s="153">
        <f t="shared" si="322"/>
        <v>0.36095112451094302</v>
      </c>
      <c r="AI205" s="153">
        <f t="shared" si="323"/>
        <v>0.75</v>
      </c>
      <c r="AJ205" s="153">
        <f t="shared" si="324"/>
        <v>1.6444444444444444</v>
      </c>
      <c r="AL205" s="317">
        <f t="shared" si="325"/>
        <v>95</v>
      </c>
      <c r="AM205" s="147">
        <f t="shared" si="326"/>
        <v>46.713852338545529</v>
      </c>
      <c r="AO205" t="str">
        <f t="shared" si="327"/>
        <v/>
      </c>
      <c r="AP205" t="str">
        <f t="shared" si="328"/>
        <v/>
      </c>
      <c r="AR205" s="5">
        <f t="shared" si="343"/>
        <v>21.406926424153177</v>
      </c>
      <c r="AS205" s="5">
        <f t="shared" si="335"/>
        <v>12.499999999999998</v>
      </c>
      <c r="AT205" s="5">
        <f t="shared" si="336"/>
        <v>8.9069264241531787</v>
      </c>
      <c r="AU205" s="153">
        <f t="shared" si="337"/>
        <v>0.58392315423181906</v>
      </c>
      <c r="AW205" s="5">
        <f t="shared" si="275"/>
        <v>5.9374999999999991</v>
      </c>
      <c r="AX205" s="5"/>
      <c r="AY205" s="5">
        <f t="shared" si="276"/>
        <v>7.4218749999999991</v>
      </c>
      <c r="AZ205" s="5"/>
      <c r="BA205" s="5">
        <f t="shared" si="277"/>
        <v>2.0892790377643262</v>
      </c>
      <c r="BB205" s="5"/>
      <c r="BC205" s="5"/>
      <c r="BD205" s="153">
        <f t="shared" si="278"/>
        <v>0.33088607014872362</v>
      </c>
      <c r="BE205" s="153">
        <f t="shared" si="279"/>
        <v>0.27931059518309348</v>
      </c>
      <c r="BF205" s="153">
        <f t="shared" si="280"/>
        <v>0.2782152595157088</v>
      </c>
      <c r="BG205" s="153"/>
      <c r="BH205" s="463">
        <f t="shared" si="281"/>
        <v>3.8319956996463116E-2</v>
      </c>
      <c r="BI205" s="463">
        <f t="shared" si="282"/>
        <v>5.1361880646230819E-3</v>
      </c>
      <c r="BJ205" s="463">
        <f t="shared" si="283"/>
        <v>5.8392315423181913E-4</v>
      </c>
      <c r="BK205" s="463">
        <f t="shared" si="284"/>
        <v>2.0079071207299835E-3</v>
      </c>
      <c r="BL205">
        <f t="shared" si="285"/>
        <v>2.6099999999999999E-3</v>
      </c>
      <c r="BM205">
        <f t="shared" si="329"/>
        <v>4.6713852338545529E-7</v>
      </c>
      <c r="BN205">
        <f t="shared" si="330"/>
        <v>5.4214938019338563E-2</v>
      </c>
      <c r="BO205" s="147">
        <f t="shared" si="286"/>
        <v>48.657975336048011</v>
      </c>
      <c r="BP205" s="153">
        <f t="shared" si="287"/>
        <v>3.8000000000000006E-2</v>
      </c>
      <c r="BQ205" s="153">
        <f t="shared" si="288"/>
        <v>3.8000000000000006E-2</v>
      </c>
      <c r="BR205" s="463"/>
      <c r="BT205" s="147">
        <f t="shared" si="289"/>
        <v>76.000000000000014</v>
      </c>
      <c r="BU205" s="463">
        <f t="shared" si="290"/>
        <v>8.7588473134772846E-2</v>
      </c>
      <c r="BV205" s="463">
        <f t="shared" si="291"/>
        <v>6.2099469230901011E-2</v>
      </c>
      <c r="BW205" s="463">
        <f t="shared" si="292"/>
        <v>3.8701865313696599E-3</v>
      </c>
      <c r="BX205" s="463">
        <f t="shared" si="293"/>
        <v>0</v>
      </c>
      <c r="BY205" s="463">
        <f t="shared" si="274"/>
        <v>0.17412415876595855</v>
      </c>
      <c r="BZ205" s="463">
        <f t="shared" si="344"/>
        <v>0.15355812889704351</v>
      </c>
      <c r="CA205" s="549">
        <f t="shared" si="331"/>
        <v>3.9414812910647787E-2</v>
      </c>
      <c r="CB205" s="147">
        <f t="shared" si="338"/>
        <v>520.65522947069337</v>
      </c>
      <c r="CC205" s="153">
        <f t="shared" si="345"/>
        <v>0.34375390969594494</v>
      </c>
      <c r="CD205" s="5">
        <f t="shared" si="339"/>
        <v>2.8536016371077757</v>
      </c>
      <c r="CE205" s="153">
        <f t="shared" si="340"/>
        <v>0.89248805625023997</v>
      </c>
      <c r="CF205" s="5">
        <f t="shared" si="341"/>
        <v>89.248805625023991</v>
      </c>
      <c r="CG205">
        <f t="shared" si="342"/>
        <v>95</v>
      </c>
      <c r="CI205" s="59">
        <f t="shared" si="332"/>
        <v>-50</v>
      </c>
      <c r="CJ205">
        <f t="shared" si="333"/>
        <v>-50</v>
      </c>
    </row>
    <row r="206" spans="5:88" x14ac:dyDescent="0.25">
      <c r="E206" s="150">
        <v>96</v>
      </c>
      <c r="F206" s="191">
        <f t="shared" si="334"/>
        <v>9.6000000000000002E-2</v>
      </c>
      <c r="G206" s="191">
        <f t="shared" si="299"/>
        <v>9.6000000000000002E-2</v>
      </c>
      <c r="H206" s="191">
        <f t="shared" si="300"/>
        <v>1.92</v>
      </c>
      <c r="I206" s="191">
        <f t="shared" si="301"/>
        <v>1.536</v>
      </c>
      <c r="J206" s="472">
        <f t="shared" si="302"/>
        <v>9</v>
      </c>
      <c r="K206" s="386">
        <f t="shared" si="303"/>
        <v>12.50238403819918</v>
      </c>
      <c r="L206" s="386">
        <f t="shared" si="304"/>
        <v>29.32</v>
      </c>
      <c r="M206" s="386"/>
      <c r="N206" s="191">
        <f t="shared" si="305"/>
        <v>0.69304229195088674</v>
      </c>
      <c r="O206" s="152">
        <f t="shared" ref="O206:O210" si="346">N206*J206*Isw_max*0.5*Efficiency*Pout/(Pout+Pout2)</f>
        <v>1.1695088676671213</v>
      </c>
      <c r="P206" s="152">
        <f t="shared" si="307"/>
        <v>1.6840927694406547</v>
      </c>
      <c r="Q206" s="191">
        <f t="shared" si="308"/>
        <v>5.8475443383356064E-2</v>
      </c>
      <c r="R206" s="191">
        <f t="shared" si="309"/>
        <v>7.3094304229195078E-2</v>
      </c>
      <c r="S206" s="191">
        <f t="shared" si="310"/>
        <v>12.18238403819918</v>
      </c>
      <c r="T206" s="191">
        <f t="shared" si="311"/>
        <v>0.75</v>
      </c>
      <c r="U206" s="191">
        <f t="shared" si="312"/>
        <v>12.499999999999998</v>
      </c>
      <c r="V206" s="191">
        <f t="shared" si="313"/>
        <v>8.9982838198117214</v>
      </c>
      <c r="W206" s="175">
        <f t="shared" si="314"/>
        <v>232.57670435033774</v>
      </c>
      <c r="X206" s="386">
        <f t="shared" si="315"/>
        <v>46.515340870067554</v>
      </c>
      <c r="Z206" s="191">
        <f t="shared" si="316"/>
        <v>0.15</v>
      </c>
      <c r="AA206" s="153">
        <f t="shared" si="317"/>
        <v>1.7996567639623438</v>
      </c>
      <c r="AB206" s="153">
        <f t="shared" ref="AB206:AB210" si="347">0.5*AA206*Z206*Nps*W206/1000*(Pout/(Pout+Pout2))</f>
        <v>1.7439926630173148E-2</v>
      </c>
      <c r="AC206" s="153"/>
      <c r="AD206" s="153">
        <f t="shared" si="319"/>
        <v>1.7996567639623438</v>
      </c>
      <c r="AE206" s="317">
        <f t="shared" ref="AE206:AE210" si="348">MAX(10, F206/(0.5*AD206/1000000*Isw_min*Nps)/1000*Pout_total/Pout)</f>
        <v>711.24673639533137</v>
      </c>
      <c r="AF206" s="463">
        <f t="shared" si="321"/>
        <v>3.1391867934311667E-2</v>
      </c>
      <c r="AH206" s="153">
        <f t="shared" si="322"/>
        <v>0.36284589408885815</v>
      </c>
      <c r="AI206" s="153">
        <f t="shared" ref="AI206:AI210" si="349">MAX(IF(F206&gt;AB206,T206,AH206),Isw_min)</f>
        <v>0.75</v>
      </c>
      <c r="AJ206" s="153">
        <f t="shared" ref="AJ206:AJ210" si="350">IF(F206&gt;AF206, (AI206-Isw_min)/1.08*0.8+1.2, AE206*0.2/350+1)</f>
        <v>1.6444444444444444</v>
      </c>
      <c r="AL206" s="317">
        <f t="shared" si="325"/>
        <v>96</v>
      </c>
      <c r="AM206" s="147">
        <f t="shared" si="326"/>
        <v>46.515340870067554</v>
      </c>
      <c r="AO206" t="str">
        <f t="shared" si="327"/>
        <v/>
      </c>
      <c r="AP206" t="str">
        <f t="shared" si="328"/>
        <v/>
      </c>
      <c r="AR206" s="5">
        <f t="shared" si="343"/>
        <v>21.498283819811718</v>
      </c>
      <c r="AS206" s="5">
        <f t="shared" si="335"/>
        <v>12.499999999999998</v>
      </c>
      <c r="AT206" s="5">
        <f t="shared" si="336"/>
        <v>8.9982838198117197</v>
      </c>
      <c r="AU206" s="153">
        <f t="shared" si="337"/>
        <v>0.58144176087584432</v>
      </c>
      <c r="AW206" s="5">
        <f t="shared" si="275"/>
        <v>6</v>
      </c>
      <c r="AX206" s="5"/>
      <c r="AY206" s="5">
        <f t="shared" si="276"/>
        <v>7.5</v>
      </c>
      <c r="AZ206" s="5"/>
      <c r="BA206" s="5">
        <f t="shared" si="277"/>
        <v>2.1329265350664817</v>
      </c>
      <c r="BB206" s="5"/>
      <c r="BC206" s="5"/>
      <c r="BD206" s="153">
        <f t="shared" si="278"/>
        <v>0.33018226809479156</v>
      </c>
      <c r="BE206" s="153">
        <f t="shared" si="279"/>
        <v>0.28014223143928013</v>
      </c>
      <c r="BF206" s="153">
        <f t="shared" si="280"/>
        <v>0.27904363445324376</v>
      </c>
      <c r="BG206" s="153"/>
      <c r="BH206" s="463">
        <f t="shared" si="281"/>
        <v>3.8157115557477285E-2</v>
      </c>
      <c r="BI206" s="463">
        <f t="shared" si="282"/>
        <v>5.1143617286639274E-3</v>
      </c>
      <c r="BJ206" s="463">
        <f t="shared" si="283"/>
        <v>5.8144176087584435E-4</v>
      </c>
      <c r="BK206" s="463">
        <f t="shared" si="284"/>
        <v>1.9993744784590184E-3</v>
      </c>
      <c r="BL206">
        <f t="shared" si="285"/>
        <v>2.6099999999999999E-3</v>
      </c>
      <c r="BM206">
        <f t="shared" si="329"/>
        <v>4.6515340870067553E-7</v>
      </c>
      <c r="BN206">
        <f t="shared" ref="BN206:BN210" si="351">(BI206+BJ206+BK206+BL206+BM206+BH206*(1+RdsonTC*(Ta-25)))/(1-BH206*RdsonTC*ThetaJA)</f>
        <v>5.3994086993952806E-2</v>
      </c>
      <c r="BO206" s="147">
        <f t="shared" si="286"/>
        <v>48.462293525476078</v>
      </c>
      <c r="BP206" s="153">
        <f t="shared" si="287"/>
        <v>3.8400000000000004E-2</v>
      </c>
      <c r="BQ206" s="153">
        <f t="shared" si="288"/>
        <v>3.8400000000000004E-2</v>
      </c>
      <c r="BR206" s="463"/>
      <c r="BT206" s="147">
        <f t="shared" si="289"/>
        <v>76.800000000000011</v>
      </c>
      <c r="BU206" s="463">
        <f t="shared" si="290"/>
        <v>8.7216264131376661E-2</v>
      </c>
      <c r="BV206" s="463">
        <f t="shared" si="291"/>
        <v>6.2469817189280241E-2</v>
      </c>
      <c r="BW206" s="463">
        <f t="shared" si="292"/>
        <v>3.8932674964437769E-3</v>
      </c>
      <c r="BX206" s="463">
        <f t="shared" si="293"/>
        <v>0</v>
      </c>
      <c r="BY206" s="463">
        <f t="shared" si="274"/>
        <v>0.1741485199788175</v>
      </c>
      <c r="BZ206" s="463">
        <f t="shared" si="344"/>
        <v>0.1535793488171007</v>
      </c>
      <c r="CA206" s="549">
        <f t="shared" si="331"/>
        <v>3.9247318859119501E-2</v>
      </c>
      <c r="CB206" s="147">
        <f t="shared" si="338"/>
        <v>520.55453647213835</v>
      </c>
      <c r="CC206" s="153">
        <f t="shared" si="345"/>
        <v>0.34418992583188979</v>
      </c>
      <c r="CD206" s="5">
        <f t="shared" si="339"/>
        <v>2.8536016371077757</v>
      </c>
      <c r="CE206" s="153">
        <f t="shared" si="340"/>
        <v>0.89236636626951293</v>
      </c>
      <c r="CF206" s="5">
        <f t="shared" si="341"/>
        <v>89.236636626951295</v>
      </c>
      <c r="CG206">
        <f t="shared" si="342"/>
        <v>96</v>
      </c>
      <c r="CI206" s="59">
        <f t="shared" si="332"/>
        <v>-50</v>
      </c>
      <c r="CJ206">
        <f t="shared" si="333"/>
        <v>-50</v>
      </c>
    </row>
    <row r="207" spans="5:88" x14ac:dyDescent="0.25">
      <c r="E207" s="150">
        <v>97</v>
      </c>
      <c r="F207" s="191">
        <f t="shared" ref="F207:F210" si="352">IF(PLOT_TYPE=1, E207/100*Iout_max, min_I*EXP(O207*rr/100))</f>
        <v>9.7000000000000003E-2</v>
      </c>
      <c r="G207" s="191">
        <f t="shared" si="299"/>
        <v>9.7000000000000003E-2</v>
      </c>
      <c r="H207" s="191">
        <f t="shared" si="300"/>
        <v>1.94</v>
      </c>
      <c r="I207" s="191">
        <f t="shared" si="301"/>
        <v>1.552</v>
      </c>
      <c r="J207" s="472">
        <f t="shared" si="302"/>
        <v>9</v>
      </c>
      <c r="K207" s="386">
        <f t="shared" si="303"/>
        <v>12.376792450176508</v>
      </c>
      <c r="L207" s="386">
        <f t="shared" si="304"/>
        <v>29.32</v>
      </c>
      <c r="M207" s="386"/>
      <c r="N207" s="191">
        <f t="shared" si="305"/>
        <v>0.69304229195088674</v>
      </c>
      <c r="O207" s="152">
        <f t="shared" si="346"/>
        <v>1.1695088676671213</v>
      </c>
      <c r="P207" s="152">
        <f t="shared" si="307"/>
        <v>1.6840927694406547</v>
      </c>
      <c r="Q207" s="191">
        <f t="shared" si="308"/>
        <v>5.8475443383356064E-2</v>
      </c>
      <c r="R207" s="191">
        <f t="shared" si="309"/>
        <v>7.3094304229195078E-2</v>
      </c>
      <c r="S207" s="191">
        <f t="shared" si="310"/>
        <v>12.056792450176507</v>
      </c>
      <c r="T207" s="191">
        <f t="shared" si="311"/>
        <v>0.75</v>
      </c>
      <c r="U207" s="191">
        <f t="shared" si="312"/>
        <v>12.499999999999998</v>
      </c>
      <c r="V207" s="191">
        <f t="shared" si="313"/>
        <v>9.0895925138015556</v>
      </c>
      <c r="W207" s="175">
        <f t="shared" si="314"/>
        <v>231.5930695219771</v>
      </c>
      <c r="X207" s="386">
        <f t="shared" si="315"/>
        <v>46.31861390439542</v>
      </c>
      <c r="Z207" s="191">
        <f t="shared" si="316"/>
        <v>0.15</v>
      </c>
      <c r="AA207" s="153">
        <f t="shared" si="317"/>
        <v>1.8179185027603109</v>
      </c>
      <c r="AB207" s="153">
        <f t="shared" si="347"/>
        <v>1.7542388591460716E-2</v>
      </c>
      <c r="AC207" s="153"/>
      <c r="AD207" s="153">
        <f t="shared" si="319"/>
        <v>1.8179185027603109</v>
      </c>
      <c r="AE207" s="317">
        <f t="shared" si="348"/>
        <v>711.43636602496088</v>
      </c>
      <c r="AF207" s="463">
        <f t="shared" si="321"/>
        <v>3.1576299464629289E-2</v>
      </c>
      <c r="AH207" s="153">
        <f t="shared" si="322"/>
        <v>0.36473082050818167</v>
      </c>
      <c r="AI207" s="153">
        <f t="shared" si="349"/>
        <v>0.75</v>
      </c>
      <c r="AJ207" s="153">
        <f t="shared" si="350"/>
        <v>1.6444444444444444</v>
      </c>
      <c r="AL207" s="317">
        <f t="shared" si="325"/>
        <v>97</v>
      </c>
      <c r="AM207" s="147">
        <f t="shared" si="326"/>
        <v>46.31861390439542</v>
      </c>
      <c r="AO207" t="str">
        <f t="shared" si="327"/>
        <v/>
      </c>
      <c r="AP207" t="str">
        <f t="shared" si="328"/>
        <v/>
      </c>
      <c r="AR207" s="5">
        <f t="shared" si="343"/>
        <v>21.589592513801556</v>
      </c>
      <c r="AS207" s="5">
        <f t="shared" si="335"/>
        <v>12.499999999999998</v>
      </c>
      <c r="AT207" s="5">
        <f t="shared" si="336"/>
        <v>9.0895925138015574</v>
      </c>
      <c r="AU207" s="153">
        <f t="shared" si="337"/>
        <v>0.57898267380494262</v>
      </c>
      <c r="AW207" s="5">
        <f t="shared" si="275"/>
        <v>6.0624999999999991</v>
      </c>
      <c r="AX207" s="5"/>
      <c r="AY207" s="5">
        <f t="shared" si="276"/>
        <v>7.578125</v>
      </c>
      <c r="AZ207" s="5"/>
      <c r="BA207" s="5">
        <f t="shared" si="277"/>
        <v>2.1770135156512369</v>
      </c>
      <c r="BB207" s="5"/>
      <c r="BC207" s="5"/>
      <c r="BD207" s="153">
        <f t="shared" si="278"/>
        <v>0.32948330965077238</v>
      </c>
      <c r="BE207" s="153">
        <f t="shared" si="279"/>
        <v>0.28096396327923134</v>
      </c>
      <c r="BF207" s="153">
        <f t="shared" si="280"/>
        <v>0.27986214381539121</v>
      </c>
      <c r="BG207" s="153"/>
      <c r="BH207" s="463">
        <f t="shared" si="281"/>
        <v>3.7995737968449364E-2</v>
      </c>
      <c r="BI207" s="463">
        <f t="shared" si="282"/>
        <v>5.0927315987882773E-3</v>
      </c>
      <c r="BJ207" s="463">
        <f t="shared" si="283"/>
        <v>5.7898267380494274E-4</v>
      </c>
      <c r="BK207" s="463">
        <f t="shared" si="284"/>
        <v>1.9909185396862973E-3</v>
      </c>
      <c r="BL207">
        <f t="shared" si="285"/>
        <v>2.6099999999999999E-3</v>
      </c>
      <c r="BM207">
        <f t="shared" si="329"/>
        <v>4.6318613904395421E-7</v>
      </c>
      <c r="BN207">
        <f t="shared" si="351"/>
        <v>5.3775234475640164E-2</v>
      </c>
      <c r="BO207" s="147">
        <f t="shared" si="286"/>
        <v>48.26837078072888</v>
      </c>
      <c r="BP207" s="153">
        <f t="shared" si="287"/>
        <v>3.8800000000000001E-2</v>
      </c>
      <c r="BQ207" s="153">
        <f t="shared" si="288"/>
        <v>3.8800000000000001E-2</v>
      </c>
      <c r="BR207" s="463"/>
      <c r="BT207" s="147">
        <f t="shared" si="289"/>
        <v>77.600000000000009</v>
      </c>
      <c r="BU207" s="463">
        <f t="shared" si="290"/>
        <v>8.6847401070741403E-2</v>
      </c>
      <c r="BV207" s="463">
        <f t="shared" si="291"/>
        <v>6.2836835934612312E-2</v>
      </c>
      <c r="BW207" s="463">
        <f t="shared" si="292"/>
        <v>3.9161409770473356E-3</v>
      </c>
      <c r="BX207" s="463">
        <f t="shared" si="293"/>
        <v>0</v>
      </c>
      <c r="BY207" s="463">
        <f t="shared" si="274"/>
        <v>0.17417266228113587</v>
      </c>
      <c r="BZ207" s="463">
        <f t="shared" si="344"/>
        <v>0.15360037798240106</v>
      </c>
      <c r="CA207" s="549">
        <f t="shared" si="331"/>
        <v>3.9081330481833633E-2</v>
      </c>
      <c r="CB207" s="147">
        <f t="shared" si="338"/>
        <v>520.45474872777163</v>
      </c>
      <c r="CC207" s="153">
        <f t="shared" si="345"/>
        <v>0.34462922723860973</v>
      </c>
      <c r="CD207" s="5">
        <f t="shared" si="339"/>
        <v>2.8536016371077757</v>
      </c>
      <c r="CE207" s="153">
        <f t="shared" si="340"/>
        <v>0.89224379294174538</v>
      </c>
      <c r="CF207" s="5">
        <f t="shared" si="341"/>
        <v>89.22437929417454</v>
      </c>
      <c r="CG207">
        <f t="shared" si="342"/>
        <v>97</v>
      </c>
      <c r="CI207" s="59">
        <f t="shared" si="332"/>
        <v>-50</v>
      </c>
      <c r="CJ207">
        <f t="shared" si="333"/>
        <v>-50</v>
      </c>
    </row>
    <row r="208" spans="5:88" x14ac:dyDescent="0.25">
      <c r="E208" s="150">
        <v>98</v>
      </c>
      <c r="F208" s="191">
        <f t="shared" si="352"/>
        <v>9.8000000000000004E-2</v>
      </c>
      <c r="G208" s="191">
        <f t="shared" si="299"/>
        <v>9.8000000000000004E-2</v>
      </c>
      <c r="H208" s="191">
        <f t="shared" si="300"/>
        <v>1.96</v>
      </c>
      <c r="I208" s="191">
        <f t="shared" si="301"/>
        <v>1.5680000000000001</v>
      </c>
      <c r="J208" s="472">
        <f t="shared" si="302"/>
        <v>9</v>
      </c>
      <c r="K208" s="386">
        <f t="shared" si="303"/>
        <v>12.253763955786951</v>
      </c>
      <c r="L208" s="386">
        <f t="shared" si="304"/>
        <v>29.32</v>
      </c>
      <c r="M208" s="386"/>
      <c r="N208" s="191">
        <f t="shared" si="305"/>
        <v>0.69304229195088674</v>
      </c>
      <c r="O208" s="152">
        <f t="shared" si="346"/>
        <v>1.1695088676671213</v>
      </c>
      <c r="P208" s="152">
        <f t="shared" si="307"/>
        <v>1.6840927694406547</v>
      </c>
      <c r="Q208" s="191">
        <f t="shared" si="308"/>
        <v>5.8475443383356064E-2</v>
      </c>
      <c r="R208" s="191">
        <f t="shared" si="309"/>
        <v>7.3094304229195078E-2</v>
      </c>
      <c r="S208" s="191">
        <f t="shared" si="310"/>
        <v>11.933763955786951</v>
      </c>
      <c r="T208" s="191">
        <f t="shared" si="311"/>
        <v>0.75</v>
      </c>
      <c r="U208" s="191">
        <f t="shared" si="312"/>
        <v>12.499999999999998</v>
      </c>
      <c r="V208" s="191">
        <f t="shared" si="313"/>
        <v>9.1808525450558278</v>
      </c>
      <c r="W208" s="175">
        <f t="shared" si="314"/>
        <v>230.61823743366662</v>
      </c>
      <c r="X208" s="386">
        <f t="shared" si="315"/>
        <v>46.123647486733326</v>
      </c>
      <c r="Z208" s="191">
        <f t="shared" si="316"/>
        <v>0.15000000000000002</v>
      </c>
      <c r="AA208" s="153">
        <f t="shared" si="317"/>
        <v>1.8361705090111657</v>
      </c>
      <c r="AB208" s="153">
        <f t="shared" si="347"/>
        <v>1.7643933600659734E-2</v>
      </c>
      <c r="AC208" s="153"/>
      <c r="AD208" s="153">
        <f t="shared" si="319"/>
        <v>1.8361705090111653</v>
      </c>
      <c r="AE208" s="317">
        <f t="shared" si="348"/>
        <v>711.62599565459038</v>
      </c>
      <c r="AF208" s="463">
        <f t="shared" si="321"/>
        <v>3.1759080481187509E-2</v>
      </c>
      <c r="AH208" s="153">
        <f t="shared" si="322"/>
        <v>0.36660605559646725</v>
      </c>
      <c r="AI208" s="153">
        <f t="shared" si="349"/>
        <v>0.75</v>
      </c>
      <c r="AJ208" s="153">
        <f t="shared" si="350"/>
        <v>1.6444444444444444</v>
      </c>
      <c r="AL208" s="317">
        <f t="shared" si="325"/>
        <v>98</v>
      </c>
      <c r="AM208" s="147">
        <f t="shared" si="326"/>
        <v>46.123647486733326</v>
      </c>
      <c r="AO208" t="str">
        <f t="shared" si="327"/>
        <v/>
      </c>
      <c r="AP208" t="str">
        <f t="shared" si="328"/>
        <v/>
      </c>
      <c r="AR208" s="5">
        <f t="shared" si="343"/>
        <v>21.680852545055828</v>
      </c>
      <c r="AS208" s="5">
        <f t="shared" si="335"/>
        <v>12.499999999999998</v>
      </c>
      <c r="AT208" s="5">
        <f t="shared" si="336"/>
        <v>9.1808525450558296</v>
      </c>
      <c r="AU208" s="153">
        <f t="shared" si="337"/>
        <v>0.57654559358416646</v>
      </c>
      <c r="AW208" s="5">
        <f t="shared" si="275"/>
        <v>6.1249999999999991</v>
      </c>
      <c r="AX208" s="5"/>
      <c r="AY208" s="5">
        <f t="shared" si="276"/>
        <v>7.6562499999999991</v>
      </c>
      <c r="AZ208" s="5"/>
      <c r="BA208" s="5">
        <f t="shared" si="277"/>
        <v>2.2215396281863486</v>
      </c>
      <c r="BB208" s="5"/>
      <c r="BC208" s="5"/>
      <c r="BD208" s="153">
        <f t="shared" si="278"/>
        <v>0.32878914032709661</v>
      </c>
      <c r="BE208" s="153">
        <f t="shared" si="279"/>
        <v>0.28177597697988521</v>
      </c>
      <c r="BF208" s="153">
        <f t="shared" si="280"/>
        <v>0.28067097314859152</v>
      </c>
      <c r="BG208" s="153"/>
      <c r="BH208" s="463">
        <f t="shared" si="281"/>
        <v>3.7835804578960922E-2</v>
      </c>
      <c r="BI208" s="463">
        <f t="shared" si="282"/>
        <v>5.0712950411663299E-3</v>
      </c>
      <c r="BJ208" s="463">
        <f t="shared" si="283"/>
        <v>5.7654559358416655E-4</v>
      </c>
      <c r="BK208" s="463">
        <f t="shared" si="284"/>
        <v>1.9825382747599572E-3</v>
      </c>
      <c r="BL208">
        <f t="shared" si="285"/>
        <v>2.6099999999999999E-3</v>
      </c>
      <c r="BM208">
        <f t="shared" si="329"/>
        <v>4.6123647486733324E-7</v>
      </c>
      <c r="BN208">
        <f t="shared" si="351"/>
        <v>5.3558353459495341E-2</v>
      </c>
      <c r="BO208" s="147">
        <f t="shared" si="286"/>
        <v>48.076183488471379</v>
      </c>
      <c r="BP208" s="153">
        <f t="shared" si="287"/>
        <v>3.9200000000000006E-2</v>
      </c>
      <c r="BQ208" s="153">
        <f t="shared" si="288"/>
        <v>3.9200000000000006E-2</v>
      </c>
      <c r="BR208" s="463"/>
      <c r="BT208" s="147">
        <f t="shared" si="289"/>
        <v>78.400000000000006</v>
      </c>
      <c r="BU208" s="463">
        <f t="shared" si="290"/>
        <v>8.6481839037624977E-2</v>
      </c>
      <c r="BV208" s="463">
        <f t="shared" si="291"/>
        <v>6.3200570157563168E-2</v>
      </c>
      <c r="BW208" s="463">
        <f t="shared" si="292"/>
        <v>3.9388097584088693E-3</v>
      </c>
      <c r="BX208" s="463">
        <f t="shared" si="293"/>
        <v>0</v>
      </c>
      <c r="BY208" s="463">
        <f t="shared" si="274"/>
        <v>0.17419658861041998</v>
      </c>
      <c r="BZ208" s="463">
        <f t="shared" si="344"/>
        <v>0.15362121895359704</v>
      </c>
      <c r="CA208" s="549">
        <f t="shared" si="331"/>
        <v>3.8916827566931239E-2</v>
      </c>
      <c r="CB208" s="147">
        <f t="shared" si="338"/>
        <v>520.35585408454529</v>
      </c>
      <c r="CC208" s="153">
        <f t="shared" si="345"/>
        <v>0.3450717696368466</v>
      </c>
      <c r="CD208" s="5">
        <f t="shared" si="339"/>
        <v>2.8536016371077757</v>
      </c>
      <c r="CE208" s="153">
        <f t="shared" si="340"/>
        <v>0.89212034935819362</v>
      </c>
      <c r="CF208" s="5">
        <f t="shared" si="341"/>
        <v>89.212034935819361</v>
      </c>
      <c r="CG208">
        <f t="shared" si="342"/>
        <v>98</v>
      </c>
      <c r="CI208" s="59">
        <f t="shared" si="332"/>
        <v>-50</v>
      </c>
      <c r="CJ208">
        <f t="shared" si="333"/>
        <v>-50</v>
      </c>
    </row>
    <row r="209" spans="5:88" x14ac:dyDescent="0.25">
      <c r="E209" s="150">
        <v>99</v>
      </c>
      <c r="F209" s="191">
        <f t="shared" si="352"/>
        <v>9.9000000000000005E-2</v>
      </c>
      <c r="G209" s="191">
        <f t="shared" si="299"/>
        <v>9.9000000000000005E-2</v>
      </c>
      <c r="H209" s="191">
        <f t="shared" si="300"/>
        <v>1.98</v>
      </c>
      <c r="I209" s="191">
        <f t="shared" si="301"/>
        <v>1.5840000000000001</v>
      </c>
      <c r="J209" s="472">
        <f t="shared" si="302"/>
        <v>9</v>
      </c>
      <c r="K209" s="386">
        <f t="shared" si="303"/>
        <v>12.133220885526477</v>
      </c>
      <c r="L209" s="386">
        <f t="shared" si="304"/>
        <v>29.32</v>
      </c>
      <c r="M209" s="386"/>
      <c r="N209" s="191">
        <f t="shared" si="305"/>
        <v>0.69304229195088674</v>
      </c>
      <c r="O209" s="152">
        <f t="shared" si="346"/>
        <v>1.1695088676671213</v>
      </c>
      <c r="P209" s="152">
        <f t="shared" si="307"/>
        <v>1.6840927694406547</v>
      </c>
      <c r="Q209" s="191">
        <f t="shared" si="308"/>
        <v>5.8475443383356064E-2</v>
      </c>
      <c r="R209" s="191">
        <f t="shared" si="309"/>
        <v>7.3094304229195078E-2</v>
      </c>
      <c r="S209" s="191">
        <f t="shared" si="310"/>
        <v>11.813220885526476</v>
      </c>
      <c r="T209" s="191">
        <f t="shared" si="311"/>
        <v>0.75</v>
      </c>
      <c r="U209" s="191">
        <f t="shared" si="312"/>
        <v>12.499999999999998</v>
      </c>
      <c r="V209" s="191">
        <f t="shared" si="313"/>
        <v>9.2720639524661941</v>
      </c>
      <c r="W209" s="175">
        <f t="shared" si="314"/>
        <v>229.65209044563889</v>
      </c>
      <c r="X209" s="386">
        <f t="shared" si="315"/>
        <v>45.930418089127784</v>
      </c>
      <c r="Z209" s="191">
        <f t="shared" si="316"/>
        <v>0.15</v>
      </c>
      <c r="AA209" s="153">
        <f t="shared" si="317"/>
        <v>1.8544127904932388</v>
      </c>
      <c r="AB209" s="153">
        <f t="shared" si="347"/>
        <v>1.7744573911912621E-2</v>
      </c>
      <c r="AC209" s="153"/>
      <c r="AD209" s="153">
        <f t="shared" si="319"/>
        <v>1.8544127904932388</v>
      </c>
      <c r="AE209" s="317">
        <f t="shared" si="348"/>
        <v>711.81562528422012</v>
      </c>
      <c r="AF209" s="463">
        <f t="shared" si="321"/>
        <v>3.1940233041442716E-2</v>
      </c>
      <c r="AH209" s="153">
        <f t="shared" si="322"/>
        <v>0.36847174731779447</v>
      </c>
      <c r="AI209" s="153">
        <f t="shared" si="349"/>
        <v>0.75</v>
      </c>
      <c r="AJ209" s="153">
        <f t="shared" si="350"/>
        <v>1.6444444444444444</v>
      </c>
      <c r="AL209" s="317">
        <f t="shared" si="325"/>
        <v>99</v>
      </c>
      <c r="AM209" s="147">
        <f t="shared" si="326"/>
        <v>45.930418089127784</v>
      </c>
      <c r="AO209" t="str">
        <f t="shared" si="327"/>
        <v/>
      </c>
      <c r="AP209" t="str">
        <f t="shared" si="328"/>
        <v/>
      </c>
      <c r="AR209" s="5">
        <f t="shared" si="343"/>
        <v>21.772063952466191</v>
      </c>
      <c r="AS209" s="5">
        <f t="shared" si="335"/>
        <v>12.499999999999998</v>
      </c>
      <c r="AT209" s="5">
        <f t="shared" si="336"/>
        <v>9.2720639524661923</v>
      </c>
      <c r="AU209" s="153">
        <f t="shared" si="337"/>
        <v>0.57413022611409714</v>
      </c>
      <c r="AW209" s="5">
        <f t="shared" si="275"/>
        <v>6.1874999999999991</v>
      </c>
      <c r="AX209" s="5"/>
      <c r="AY209" s="5">
        <f t="shared" si="276"/>
        <v>7.7343749999999991</v>
      </c>
      <c r="AZ209" s="5"/>
      <c r="BA209" s="5">
        <f t="shared" si="277"/>
        <v>2.2665045217139577</v>
      </c>
      <c r="BB209" s="5"/>
      <c r="BC209" s="5"/>
      <c r="BD209" s="153">
        <f t="shared" si="278"/>
        <v>0.32809970648629538</v>
      </c>
      <c r="BE209" s="153">
        <f t="shared" si="279"/>
        <v>0.28257845389131631</v>
      </c>
      <c r="BF209" s="153">
        <f t="shared" si="280"/>
        <v>0.28147030309174254</v>
      </c>
      <c r="BG209" s="153"/>
      <c r="BH209" s="463">
        <f t="shared" si="281"/>
        <v>3.7677296088737613E-2</v>
      </c>
      <c r="BI209" s="463">
        <f t="shared" si="282"/>
        <v>5.0500494688996006E-3</v>
      </c>
      <c r="BJ209" s="463">
        <f t="shared" si="283"/>
        <v>5.7413022611409723E-4</v>
      </c>
      <c r="BK209" s="463">
        <f t="shared" si="284"/>
        <v>1.9742326723751506E-3</v>
      </c>
      <c r="BL209">
        <f t="shared" si="285"/>
        <v>2.6099999999999999E-3</v>
      </c>
      <c r="BM209">
        <f t="shared" si="329"/>
        <v>4.5930418089127783E-7</v>
      </c>
      <c r="BN209">
        <f t="shared" si="351"/>
        <v>5.3343417424971146E-2</v>
      </c>
      <c r="BO209" s="147">
        <f t="shared" si="286"/>
        <v>47.885708456126459</v>
      </c>
      <c r="BP209" s="153">
        <f t="shared" si="287"/>
        <v>3.9600000000000003E-2</v>
      </c>
      <c r="BQ209" s="153">
        <f t="shared" si="288"/>
        <v>3.9600000000000003E-2</v>
      </c>
      <c r="BR209" s="463"/>
      <c r="BT209" s="147">
        <f t="shared" si="289"/>
        <v>79.2</v>
      </c>
      <c r="BU209" s="463">
        <f t="shared" si="290"/>
        <v>8.6119533917114549E-2</v>
      </c>
      <c r="BV209" s="463">
        <f t="shared" si="291"/>
        <v>6.3561063752471003E-2</v>
      </c>
      <c r="BW209" s="463">
        <f t="shared" si="292"/>
        <v>3.9612765761278699E-3</v>
      </c>
      <c r="BX209" s="463">
        <f t="shared" si="293"/>
        <v>0</v>
      </c>
      <c r="BY209" s="463">
        <f t="shared" si="274"/>
        <v>0.17422030185185286</v>
      </c>
      <c r="BZ209" s="463">
        <f t="shared" si="344"/>
        <v>0.15364187424571343</v>
      </c>
      <c r="CA209" s="549">
        <f t="shared" si="331"/>
        <v>3.8753790262701565E-2</v>
      </c>
      <c r="CB209" s="147">
        <f t="shared" si="338"/>
        <v>520.25784060598119</v>
      </c>
      <c r="CC209" s="153">
        <f t="shared" si="345"/>
        <v>0.34551750953952554</v>
      </c>
      <c r="CD209" s="5">
        <f t="shared" si="339"/>
        <v>2.8536016371077757</v>
      </c>
      <c r="CE209" s="153">
        <f t="shared" si="340"/>
        <v>0.89199604838049562</v>
      </c>
      <c r="CF209" s="5">
        <f t="shared" si="341"/>
        <v>89.199604838049567</v>
      </c>
      <c r="CG209">
        <f t="shared" si="342"/>
        <v>99</v>
      </c>
      <c r="CI209" s="59">
        <f t="shared" si="332"/>
        <v>-50</v>
      </c>
      <c r="CJ209">
        <f t="shared" si="333"/>
        <v>-50</v>
      </c>
    </row>
    <row r="210" spans="5:88" x14ac:dyDescent="0.25">
      <c r="E210" s="150">
        <v>100</v>
      </c>
      <c r="F210" s="191">
        <f t="shared" si="352"/>
        <v>0.1</v>
      </c>
      <c r="G210" s="191">
        <f t="shared" si="299"/>
        <v>0.1</v>
      </c>
      <c r="H210" s="191">
        <f t="shared" si="300"/>
        <v>2</v>
      </c>
      <c r="I210" s="191">
        <f t="shared" si="301"/>
        <v>1.6</v>
      </c>
      <c r="J210" s="472">
        <f t="shared" si="302"/>
        <v>9</v>
      </c>
      <c r="K210" s="386">
        <f t="shared" si="303"/>
        <v>12.015088676671212</v>
      </c>
      <c r="L210" s="386">
        <f t="shared" si="304"/>
        <v>29.32</v>
      </c>
      <c r="M210" s="386"/>
      <c r="N210" s="191">
        <f t="shared" si="305"/>
        <v>0.69304229195088674</v>
      </c>
      <c r="O210" s="152">
        <f t="shared" si="346"/>
        <v>1.1695088676671213</v>
      </c>
      <c r="P210" s="152">
        <f t="shared" si="307"/>
        <v>1.6840927694406547</v>
      </c>
      <c r="Q210" s="191">
        <f t="shared" si="308"/>
        <v>5.8475443383356064E-2</v>
      </c>
      <c r="R210" s="191">
        <f t="shared" si="309"/>
        <v>7.3094304229195078E-2</v>
      </c>
      <c r="S210" s="191">
        <f t="shared" si="310"/>
        <v>11.695088676671212</v>
      </c>
      <c r="T210" s="191">
        <f t="shared" si="311"/>
        <v>0.75</v>
      </c>
      <c r="U210" s="191">
        <f t="shared" si="312"/>
        <v>12.499999999999998</v>
      </c>
      <c r="V210" s="191">
        <f t="shared" si="313"/>
        <v>9.3632267748828788</v>
      </c>
      <c r="W210" s="175">
        <f t="shared" si="314"/>
        <v>228.69451300501299</v>
      </c>
      <c r="X210" s="386">
        <f t="shared" si="315"/>
        <v>45.7389026010026</v>
      </c>
      <c r="Z210" s="191">
        <f t="shared" si="316"/>
        <v>0.15</v>
      </c>
      <c r="AA210" s="153">
        <f t="shared" si="317"/>
        <v>1.8726453549765758</v>
      </c>
      <c r="AB210" s="153">
        <f t="shared" si="347"/>
        <v>1.7844321561977822E-2</v>
      </c>
      <c r="AC210" s="153"/>
      <c r="AD210" s="153">
        <f t="shared" si="319"/>
        <v>1.8726453549765758</v>
      </c>
      <c r="AE210" s="317">
        <f t="shared" si="348"/>
        <v>712.00525491384974</v>
      </c>
      <c r="AF210" s="463">
        <f t="shared" si="321"/>
        <v>3.2119778811560071E-2</v>
      </c>
      <c r="AH210" s="153">
        <f t="shared" si="322"/>
        <v>0.37032803990902063</v>
      </c>
      <c r="AI210" s="153">
        <f t="shared" si="349"/>
        <v>0.75</v>
      </c>
      <c r="AJ210" s="153">
        <f t="shared" si="350"/>
        <v>1.6444444444444444</v>
      </c>
      <c r="AL210" s="317">
        <f t="shared" si="325"/>
        <v>100</v>
      </c>
      <c r="AM210" s="147">
        <f t="shared" si="326"/>
        <v>45.7389026010026</v>
      </c>
      <c r="AO210" t="str">
        <f t="shared" si="327"/>
        <v/>
      </c>
      <c r="AP210" t="str">
        <f t="shared" si="328"/>
        <v/>
      </c>
      <c r="AR210" s="5">
        <f t="shared" si="343"/>
        <v>21.863226774882875</v>
      </c>
      <c r="AS210" s="5">
        <f t="shared" si="335"/>
        <v>12.499999999999998</v>
      </c>
      <c r="AT210" s="5">
        <f t="shared" si="336"/>
        <v>9.363226774882877</v>
      </c>
      <c r="AU210" s="153">
        <f t="shared" si="337"/>
        <v>0.57173628251253239</v>
      </c>
      <c r="AW210" s="5">
        <f t="shared" si="275"/>
        <v>6.25</v>
      </c>
      <c r="AX210" s="5"/>
      <c r="AY210" s="5">
        <f t="shared" si="276"/>
        <v>7.8125</v>
      </c>
      <c r="AZ210" s="5"/>
      <c r="BA210" s="5">
        <f t="shared" si="277"/>
        <v>2.3119078456500932</v>
      </c>
      <c r="BB210" s="5"/>
      <c r="BC210" s="5"/>
      <c r="BD210" s="153">
        <f t="shared" si="278"/>
        <v>0.3274149553259591</v>
      </c>
      <c r="BE210" s="153">
        <f t="shared" si="279"/>
        <v>0.28337157060809787</v>
      </c>
      <c r="BF210" s="153">
        <f t="shared" si="280"/>
        <v>0.28226030954688963</v>
      </c>
      <c r="BG210" s="153"/>
      <c r="BH210" s="463">
        <f t="shared" si="281"/>
        <v>3.7520193539884922E-2</v>
      </c>
      <c r="BI210" s="463">
        <f t="shared" si="282"/>
        <v>5.0289923409802366E-3</v>
      </c>
      <c r="BJ210" s="463">
        <f t="shared" si="283"/>
        <v>5.7173628251253256E-4</v>
      </c>
      <c r="BK210" s="463">
        <f t="shared" si="284"/>
        <v>1.9660007391672073E-3</v>
      </c>
      <c r="BL210">
        <f t="shared" si="285"/>
        <v>2.6099999999999999E-3</v>
      </c>
      <c r="BM210">
        <f t="shared" si="329"/>
        <v>4.5738902601002602E-7</v>
      </c>
      <c r="BN210">
        <f t="shared" si="351"/>
        <v>5.3130400325067752E-2</v>
      </c>
      <c r="BO210" s="147">
        <f t="shared" si="286"/>
        <v>47.696922902544905</v>
      </c>
      <c r="BP210" s="153">
        <f t="shared" si="287"/>
        <v>4.0000000000000008E-2</v>
      </c>
      <c r="BQ210" s="153">
        <f t="shared" si="288"/>
        <v>4.0000000000000008E-2</v>
      </c>
      <c r="BR210" s="463"/>
      <c r="BT210" s="147">
        <f t="shared" si="289"/>
        <v>80.000000000000014</v>
      </c>
      <c r="BU210" s="463">
        <f t="shared" si="290"/>
        <v>8.5760442376879839E-2</v>
      </c>
      <c r="BV210" s="463">
        <f t="shared" si="291"/>
        <v>6.391835983500456E-2</v>
      </c>
      <c r="BW210" s="463">
        <f t="shared" si="292"/>
        <v>3.9835441172752983E-3</v>
      </c>
      <c r="BX210" s="463">
        <f t="shared" si="293"/>
        <v>0</v>
      </c>
      <c r="BY210" s="463">
        <f t="shared" si="274"/>
        <v>0.17424380483945495</v>
      </c>
      <c r="BZ210" s="463">
        <f t="shared" si="344"/>
        <v>0.1536623463291597</v>
      </c>
      <c r="CA210" s="549">
        <f t="shared" si="331"/>
        <v>3.8592199069595941E-2</v>
      </c>
      <c r="CB210" s="147">
        <f t="shared" si="338"/>
        <v>520.16069656737034</v>
      </c>
      <c r="CC210" s="153">
        <f t="shared" si="345"/>
        <v>0.34596640423411867</v>
      </c>
      <c r="CD210" s="5">
        <f t="shared" si="339"/>
        <v>2.8536016371077757</v>
      </c>
      <c r="CE210" s="153">
        <f t="shared" si="340"/>
        <v>0.89187090264565183</v>
      </c>
      <c r="CF210" s="5">
        <f t="shared" si="341"/>
        <v>89.187090264565185</v>
      </c>
      <c r="CG210">
        <f t="shared" si="342"/>
        <v>100</v>
      </c>
      <c r="CI210" s="59">
        <f t="shared" si="332"/>
        <v>-50</v>
      </c>
      <c r="CJ210">
        <f t="shared" si="333"/>
        <v>-50</v>
      </c>
    </row>
    <row r="211" spans="5:88" x14ac:dyDescent="0.25">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2.4681024277710248</v>
      </c>
    </row>
    <row r="212" spans="5:88" x14ac:dyDescent="0.25">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5">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5">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3">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5">
      <c r="E216" s="150">
        <v>0.1</v>
      </c>
      <c r="F216" s="191">
        <v>1.0000000000000001E-9</v>
      </c>
      <c r="G216" s="191">
        <f t="shared" ref="G216:G247" si="353">IF(PLOT_TYPE=1, E216/100*Iout2, min_I*EXP(Q216*rr/100))</f>
        <v>1E-4</v>
      </c>
      <c r="H216" s="191">
        <f t="shared" ref="H216:H247" si="354">F216*Vout</f>
        <v>2E-8</v>
      </c>
      <c r="I216" s="191">
        <f t="shared" ref="I216:I247" si="355">Vout2*G216</f>
        <v>1.6000000000000001E-3</v>
      </c>
      <c r="J216" s="472">
        <f t="shared" ref="J216:J279" si="356">VIN_max</f>
        <v>21</v>
      </c>
      <c r="K216" s="386">
        <f t="shared" ref="K216:K279" si="357">(S216+Vfwd1)*Nps</f>
        <v>20.32</v>
      </c>
      <c r="L216" s="386">
        <f t="shared" ref="L216:L279" si="358">(Vout+Vfwd1)*Nps+J216</f>
        <v>41.32</v>
      </c>
      <c r="M216" s="386"/>
      <c r="N216" s="191">
        <f t="shared" ref="N216:N279" si="359">(Vout+Vfwd1)*Nps/((Vout+Vfwd1)*Nps+J216)</f>
        <v>0.49177153920619554</v>
      </c>
      <c r="O216" s="152">
        <f t="shared" ref="O216:O247" si="360">N216*J216*Isw_max*0.5*Efficiency*Pout/(Pout+Pout2)</f>
        <v>1.9363504356243948</v>
      </c>
      <c r="P216" s="152">
        <f t="shared" ref="P216:P247" si="361">N216*J216*Isw_max*0.5*Efficiency*(Pout2/Pout_total)</f>
        <v>2.7883446272991286</v>
      </c>
      <c r="Q216" s="191">
        <f t="shared" ref="Q216:Q279" si="362">O216/Vout</f>
        <v>9.6817521781219745E-2</v>
      </c>
      <c r="R216" s="191">
        <f t="shared" ref="R216:R247" si="363">O216/Vout2</f>
        <v>0.12102190222652467</v>
      </c>
      <c r="S216" s="191">
        <f t="shared" ref="S216:S247" si="364">MIN(Vout,O216/F216)</f>
        <v>20</v>
      </c>
      <c r="T216" s="191">
        <f t="shared" ref="T216:T247" si="365">MIN(2*(Vout*F216+Vout2*G216)/(Efficiency*J216*N216), Isw_max)</f>
        <v>3.4429460067491566E-4</v>
      </c>
      <c r="U216" s="191">
        <f t="shared" ref="U216:U279" si="366">L*T216/J216*1000000</f>
        <v>2.4592471476779683E-3</v>
      </c>
      <c r="V216" s="191">
        <f t="shared" ref="V216:V279" si="367">L*T216/K216*1000000</f>
        <v>2.5415447884467196E-3</v>
      </c>
      <c r="W216" s="175">
        <f t="shared" ref="W216:W279" si="368">IF(1/((350000*L)*(1/J216+1/K216))&gt;Isw_min, 350, 0.001/((Isw_min*L)*(1/J216+1/K216)))</f>
        <v>350</v>
      </c>
      <c r="X216" s="386">
        <f t="shared" ref="X216:X279" si="369">MIN(1/(U216+V216)*1000, 350)</f>
        <v>350</v>
      </c>
      <c r="Z216" s="191">
        <f t="shared" ref="Z216:Z279" si="370">1/((W216*1000*L)*(1/J216+1/K216))</f>
        <v>0.19670861568247827</v>
      </c>
      <c r="AA216" s="153">
        <f t="shared" ref="AA216:AA279" si="371">L*Z216/K216*1000000</f>
        <v>1.4520813165537272</v>
      </c>
      <c r="AB216" s="153">
        <f t="shared" ref="AB216:AB247" si="372">0.5*AA216*Z216*Nps*W216/1000*(Pout/(Pout+Pout2))</f>
        <v>2.7770254714773877E-2</v>
      </c>
      <c r="AC216" s="153"/>
      <c r="AD216" s="153">
        <f t="shared" ref="AD216:AD279" si="373">L*Isw_min/K216*1000000</f>
        <v>1.1072834645669289</v>
      </c>
      <c r="AE216" s="317">
        <f t="shared" ref="AE216:AE247" si="374">MAX(10, F216/(0.5*AD216/1000000*Isw_min*Nps)/1000*Pout_total/Pout)</f>
        <v>10</v>
      </c>
      <c r="AF216" s="463">
        <f t="shared" ref="AF216:AF247" si="375">0.5*AD216/1000000*Isw_min*Nps*W216*1000*(Pout/Pout_total)</f>
        <v>2.9066190944881887E-2</v>
      </c>
      <c r="AH216" s="153">
        <f t="shared" ref="AH216:AH247" si="376">SQRT((H216+I216)/(0.5*L*Fsw_DCM))</f>
        <v>7.8072493784394304E-3</v>
      </c>
      <c r="AI216" s="153">
        <f t="shared" ref="AI216:AI247" si="377">MAX(IF(F216&gt;AB216,T216,AH216),Isw_min)</f>
        <v>0.15</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1.0714285714285714</v>
      </c>
      <c r="AT216" s="5">
        <f t="shared" si="336"/>
        <v>98.928571428571431</v>
      </c>
      <c r="AU216" s="153">
        <f t="shared" si="337"/>
        <v>1.0714285714285714E-2</v>
      </c>
      <c r="CI216" s="59">
        <f t="shared" ref="CI216:CI247" si="383">IF(ABS(F216-Ioutmax_Vinmax)&lt;Iout/200, AM216, -50)</f>
        <v>-50</v>
      </c>
    </row>
    <row r="217" spans="5:88" x14ac:dyDescent="0.25">
      <c r="E217" s="150">
        <v>1</v>
      </c>
      <c r="F217" s="191">
        <f t="shared" ref="F217:F248" si="384">IF(PLOT_TYPE=1, E217/100*Iout_max, min_I*EXP(O217*rr/100))</f>
        <v>1E-3</v>
      </c>
      <c r="G217" s="191">
        <f t="shared" si="353"/>
        <v>1E-3</v>
      </c>
      <c r="H217" s="191">
        <f t="shared" si="354"/>
        <v>0.02</v>
      </c>
      <c r="I217" s="191">
        <f t="shared" si="355"/>
        <v>1.6E-2</v>
      </c>
      <c r="J217" s="472">
        <f t="shared" si="356"/>
        <v>21</v>
      </c>
      <c r="K217" s="386">
        <f t="shared" si="357"/>
        <v>20.32</v>
      </c>
      <c r="L217" s="386">
        <f t="shared" si="358"/>
        <v>41.32</v>
      </c>
      <c r="M217" s="386"/>
      <c r="N217" s="191">
        <f t="shared" si="359"/>
        <v>0.49177153920619554</v>
      </c>
      <c r="O217" s="152">
        <f t="shared" si="360"/>
        <v>1.9363504356243948</v>
      </c>
      <c r="P217" s="152">
        <f t="shared" si="361"/>
        <v>2.7883446272991286</v>
      </c>
      <c r="Q217" s="191">
        <f t="shared" si="362"/>
        <v>9.6817521781219745E-2</v>
      </c>
      <c r="R217" s="191">
        <f t="shared" si="363"/>
        <v>0.12102190222652467</v>
      </c>
      <c r="S217" s="191">
        <f t="shared" si="364"/>
        <v>20</v>
      </c>
      <c r="T217" s="191">
        <f t="shared" si="365"/>
        <v>7.7465316835395584E-3</v>
      </c>
      <c r="U217" s="191">
        <f t="shared" si="366"/>
        <v>5.5332369168139696E-2</v>
      </c>
      <c r="V217" s="191">
        <f t="shared" si="367"/>
        <v>5.718404293951445E-2</v>
      </c>
      <c r="W217" s="175">
        <f t="shared" si="368"/>
        <v>350</v>
      </c>
      <c r="X217" s="386">
        <f t="shared" si="369"/>
        <v>350</v>
      </c>
      <c r="Z217" s="191">
        <f t="shared" si="370"/>
        <v>0.19670861568247827</v>
      </c>
      <c r="AA217" s="153">
        <f t="shared" si="371"/>
        <v>1.4520813165537272</v>
      </c>
      <c r="AB217" s="153">
        <f t="shared" si="372"/>
        <v>2.7770254714773877E-2</v>
      </c>
      <c r="AC217" s="153"/>
      <c r="AD217" s="153">
        <f t="shared" si="373"/>
        <v>1.1072834645669289</v>
      </c>
      <c r="AE217" s="317">
        <f t="shared" si="374"/>
        <v>12.041481481481481</v>
      </c>
      <c r="AF217" s="463">
        <f t="shared" si="375"/>
        <v>2.9066190944881887E-2</v>
      </c>
      <c r="AH217" s="153">
        <f t="shared" si="376"/>
        <v>3.7032803990902065E-2</v>
      </c>
      <c r="AI217" s="153">
        <f t="shared" si="377"/>
        <v>0.15</v>
      </c>
      <c r="AJ217" s="153">
        <f t="shared" si="378"/>
        <v>1.0068808465608465</v>
      </c>
      <c r="AL217" s="317">
        <f t="shared" si="379"/>
        <v>1</v>
      </c>
      <c r="AM217" s="147">
        <f t="shared" si="380"/>
        <v>12.041481481481481</v>
      </c>
      <c r="AO217">
        <f t="shared" si="381"/>
        <v>1</v>
      </c>
      <c r="AP217">
        <f t="shared" si="382"/>
        <v>12.041481481481481</v>
      </c>
      <c r="AR217" s="5">
        <f t="shared" si="343"/>
        <v>83.046259842519689</v>
      </c>
      <c r="AS217" s="5">
        <f t="shared" si="335"/>
        <v>1.0714285714285714</v>
      </c>
      <c r="AT217" s="5">
        <f t="shared" si="336"/>
        <v>81.974831271091119</v>
      </c>
      <c r="AU217" s="153">
        <f t="shared" si="337"/>
        <v>1.2901587301587301E-2</v>
      </c>
      <c r="CI217" s="59">
        <f t="shared" si="383"/>
        <v>-50</v>
      </c>
    </row>
    <row r="218" spans="5:88" x14ac:dyDescent="0.25">
      <c r="E218" s="150">
        <v>2</v>
      </c>
      <c r="F218" s="191">
        <f t="shared" si="384"/>
        <v>2E-3</v>
      </c>
      <c r="G218" s="191">
        <f t="shared" si="353"/>
        <v>2E-3</v>
      </c>
      <c r="H218" s="191">
        <f t="shared" si="354"/>
        <v>0.04</v>
      </c>
      <c r="I218" s="191">
        <f t="shared" si="355"/>
        <v>3.2000000000000001E-2</v>
      </c>
      <c r="J218" s="472">
        <f t="shared" si="356"/>
        <v>21</v>
      </c>
      <c r="K218" s="386">
        <f t="shared" si="357"/>
        <v>20.32</v>
      </c>
      <c r="L218" s="386">
        <f t="shared" si="358"/>
        <v>41.32</v>
      </c>
      <c r="M218" s="386"/>
      <c r="N218" s="191">
        <f t="shared" si="359"/>
        <v>0.49177153920619554</v>
      </c>
      <c r="O218" s="152">
        <f t="shared" si="360"/>
        <v>1.9363504356243948</v>
      </c>
      <c r="P218" s="152">
        <f t="shared" si="361"/>
        <v>2.7883446272991286</v>
      </c>
      <c r="Q218" s="191">
        <f t="shared" si="362"/>
        <v>9.6817521781219745E-2</v>
      </c>
      <c r="R218" s="191">
        <f t="shared" si="363"/>
        <v>0.12102190222652467</v>
      </c>
      <c r="S218" s="191">
        <f t="shared" si="364"/>
        <v>20</v>
      </c>
      <c r="T218" s="191">
        <f t="shared" si="365"/>
        <v>1.5493063367079117E-2</v>
      </c>
      <c r="U218" s="191">
        <f t="shared" si="366"/>
        <v>0.11066473833627939</v>
      </c>
      <c r="V218" s="191">
        <f t="shared" si="367"/>
        <v>0.1143680858790289</v>
      </c>
      <c r="W218" s="175">
        <f t="shared" si="368"/>
        <v>350</v>
      </c>
      <c r="X218" s="386">
        <f t="shared" si="369"/>
        <v>350</v>
      </c>
      <c r="Z218" s="191">
        <f t="shared" si="370"/>
        <v>0.19670861568247827</v>
      </c>
      <c r="AA218" s="153">
        <f t="shared" si="371"/>
        <v>1.4520813165537272</v>
      </c>
      <c r="AB218" s="153">
        <f t="shared" si="372"/>
        <v>2.7770254714773877E-2</v>
      </c>
      <c r="AC218" s="153"/>
      <c r="AD218" s="153">
        <f t="shared" si="373"/>
        <v>1.1072834645669289</v>
      </c>
      <c r="AE218" s="317">
        <f t="shared" si="374"/>
        <v>24.082962962962963</v>
      </c>
      <c r="AF218" s="463">
        <f t="shared" si="375"/>
        <v>2.9066190944881887E-2</v>
      </c>
      <c r="AH218" s="153">
        <f t="shared" si="376"/>
        <v>5.2372293656638182E-2</v>
      </c>
      <c r="AI218" s="153">
        <f t="shared" si="377"/>
        <v>0.15</v>
      </c>
      <c r="AJ218" s="153">
        <f t="shared" si="378"/>
        <v>1.0137616931216931</v>
      </c>
      <c r="AL218" s="317">
        <f t="shared" si="379"/>
        <v>2</v>
      </c>
      <c r="AM218" s="147">
        <f t="shared" si="380"/>
        <v>24.082962962962963</v>
      </c>
      <c r="AO218">
        <f t="shared" si="381"/>
        <v>2</v>
      </c>
      <c r="AP218">
        <f t="shared" si="382"/>
        <v>24.082962962962963</v>
      </c>
      <c r="AR218" s="5">
        <f t="shared" si="343"/>
        <v>41.523129921259844</v>
      </c>
      <c r="AS218" s="5">
        <f t="shared" si="335"/>
        <v>1.0714285714285714</v>
      </c>
      <c r="AT218" s="5">
        <f t="shared" si="336"/>
        <v>40.451701349831275</v>
      </c>
      <c r="AU218" s="153">
        <f t="shared" si="337"/>
        <v>2.5803174603174602E-2</v>
      </c>
      <c r="CI218" s="59">
        <f t="shared" si="383"/>
        <v>-50</v>
      </c>
    </row>
    <row r="219" spans="5:88" x14ac:dyDescent="0.25">
      <c r="E219" s="150">
        <v>3</v>
      </c>
      <c r="F219" s="191">
        <f t="shared" si="384"/>
        <v>3.0000000000000001E-3</v>
      </c>
      <c r="G219" s="191">
        <f t="shared" si="353"/>
        <v>3.0000000000000001E-3</v>
      </c>
      <c r="H219" s="191">
        <f t="shared" si="354"/>
        <v>0.06</v>
      </c>
      <c r="I219" s="191">
        <f t="shared" si="355"/>
        <v>4.8000000000000001E-2</v>
      </c>
      <c r="J219" s="472">
        <f t="shared" si="356"/>
        <v>21</v>
      </c>
      <c r="K219" s="386">
        <f t="shared" si="357"/>
        <v>20.32</v>
      </c>
      <c r="L219" s="386">
        <f t="shared" si="358"/>
        <v>41.32</v>
      </c>
      <c r="M219" s="386"/>
      <c r="N219" s="191">
        <f t="shared" si="359"/>
        <v>0.49177153920619554</v>
      </c>
      <c r="O219" s="152">
        <f t="shared" si="360"/>
        <v>1.9363504356243948</v>
      </c>
      <c r="P219" s="152">
        <f t="shared" si="361"/>
        <v>2.7883446272991286</v>
      </c>
      <c r="Q219" s="191">
        <f t="shared" si="362"/>
        <v>9.6817521781219745E-2</v>
      </c>
      <c r="R219" s="191">
        <f t="shared" si="363"/>
        <v>0.12102190222652467</v>
      </c>
      <c r="S219" s="191">
        <f t="shared" si="364"/>
        <v>20</v>
      </c>
      <c r="T219" s="191">
        <f t="shared" si="365"/>
        <v>2.3239595050618671E-2</v>
      </c>
      <c r="U219" s="191">
        <f t="shared" si="366"/>
        <v>0.16599710750441904</v>
      </c>
      <c r="V219" s="191">
        <f t="shared" si="367"/>
        <v>0.17155212881854331</v>
      </c>
      <c r="W219" s="175">
        <f t="shared" si="368"/>
        <v>350</v>
      </c>
      <c r="X219" s="386">
        <f t="shared" si="369"/>
        <v>350</v>
      </c>
      <c r="Z219" s="191">
        <f t="shared" si="370"/>
        <v>0.19670861568247827</v>
      </c>
      <c r="AA219" s="153">
        <f t="shared" si="371"/>
        <v>1.4520813165537272</v>
      </c>
      <c r="AB219" s="153">
        <f t="shared" si="372"/>
        <v>2.7770254714773877E-2</v>
      </c>
      <c r="AC219" s="153"/>
      <c r="AD219" s="153">
        <f t="shared" si="373"/>
        <v>1.1072834645669289</v>
      </c>
      <c r="AE219" s="317">
        <f t="shared" si="374"/>
        <v>36.124444444444443</v>
      </c>
      <c r="AF219" s="463">
        <f t="shared" si="375"/>
        <v>2.9066190944881887E-2</v>
      </c>
      <c r="AH219" s="153">
        <f t="shared" si="376"/>
        <v>6.4142698058981859E-2</v>
      </c>
      <c r="AI219" s="153">
        <f t="shared" si="377"/>
        <v>0.15</v>
      </c>
      <c r="AJ219" s="153">
        <f t="shared" si="378"/>
        <v>1.0206425396825396</v>
      </c>
      <c r="AL219" s="317">
        <f t="shared" si="379"/>
        <v>3</v>
      </c>
      <c r="AM219" s="147">
        <f t="shared" si="380"/>
        <v>36.124444444444443</v>
      </c>
      <c r="AO219">
        <f t="shared" si="381"/>
        <v>3</v>
      </c>
      <c r="AP219">
        <f t="shared" si="382"/>
        <v>36.124444444444443</v>
      </c>
      <c r="AR219" s="5">
        <f t="shared" si="343"/>
        <v>27.68208661417323</v>
      </c>
      <c r="AS219" s="5">
        <f t="shared" si="335"/>
        <v>1.0714285714285714</v>
      </c>
      <c r="AT219" s="5">
        <f t="shared" si="336"/>
        <v>26.610658042744657</v>
      </c>
      <c r="AU219" s="153">
        <f t="shared" si="337"/>
        <v>3.8704761904761902E-2</v>
      </c>
      <c r="CI219" s="59">
        <f t="shared" si="383"/>
        <v>-50</v>
      </c>
    </row>
    <row r="220" spans="5:88" x14ac:dyDescent="0.25">
      <c r="E220" s="150">
        <v>4</v>
      </c>
      <c r="F220" s="191">
        <f t="shared" si="384"/>
        <v>4.0000000000000001E-3</v>
      </c>
      <c r="G220" s="191">
        <f t="shared" si="353"/>
        <v>4.0000000000000001E-3</v>
      </c>
      <c r="H220" s="191">
        <f t="shared" si="354"/>
        <v>0.08</v>
      </c>
      <c r="I220" s="191">
        <f t="shared" si="355"/>
        <v>6.4000000000000001E-2</v>
      </c>
      <c r="J220" s="472">
        <f t="shared" si="356"/>
        <v>21</v>
      </c>
      <c r="K220" s="386">
        <f t="shared" si="357"/>
        <v>20.32</v>
      </c>
      <c r="L220" s="386">
        <f t="shared" si="358"/>
        <v>41.32</v>
      </c>
      <c r="M220" s="386"/>
      <c r="N220" s="191">
        <f t="shared" si="359"/>
        <v>0.49177153920619554</v>
      </c>
      <c r="O220" s="152">
        <f t="shared" si="360"/>
        <v>1.9363504356243948</v>
      </c>
      <c r="P220" s="152">
        <f t="shared" si="361"/>
        <v>2.7883446272991286</v>
      </c>
      <c r="Q220" s="191">
        <f t="shared" si="362"/>
        <v>9.6817521781219745E-2</v>
      </c>
      <c r="R220" s="191">
        <f t="shared" si="363"/>
        <v>0.12102190222652467</v>
      </c>
      <c r="S220" s="191">
        <f t="shared" si="364"/>
        <v>20</v>
      </c>
      <c r="T220" s="191">
        <f t="shared" si="365"/>
        <v>3.0986126734158233E-2</v>
      </c>
      <c r="U220" s="191">
        <f t="shared" si="366"/>
        <v>0.22132947667255878</v>
      </c>
      <c r="V220" s="191">
        <f t="shared" si="367"/>
        <v>0.2287361717580578</v>
      </c>
      <c r="W220" s="175">
        <f t="shared" si="368"/>
        <v>350</v>
      </c>
      <c r="X220" s="386">
        <f t="shared" si="369"/>
        <v>350</v>
      </c>
      <c r="Z220" s="191">
        <f t="shared" si="370"/>
        <v>0.19670861568247827</v>
      </c>
      <c r="AA220" s="153">
        <f t="shared" si="371"/>
        <v>1.4520813165537272</v>
      </c>
      <c r="AB220" s="153">
        <f t="shared" si="372"/>
        <v>2.7770254714773877E-2</v>
      </c>
      <c r="AC220" s="153"/>
      <c r="AD220" s="153">
        <f t="shared" si="373"/>
        <v>1.1072834645669289</v>
      </c>
      <c r="AE220" s="317">
        <f t="shared" si="374"/>
        <v>48.165925925925926</v>
      </c>
      <c r="AF220" s="463">
        <f t="shared" si="375"/>
        <v>2.9066190944881887E-2</v>
      </c>
      <c r="AH220" s="153">
        <f t="shared" si="376"/>
        <v>7.406560798180413E-2</v>
      </c>
      <c r="AI220" s="153">
        <f t="shared" si="377"/>
        <v>0.15</v>
      </c>
      <c r="AJ220" s="153">
        <f t="shared" si="378"/>
        <v>1.0275233862433863</v>
      </c>
      <c r="AL220" s="317">
        <f t="shared" si="379"/>
        <v>4</v>
      </c>
      <c r="AM220" s="147">
        <f t="shared" si="380"/>
        <v>48.165925925925926</v>
      </c>
      <c r="AO220">
        <f t="shared" si="381"/>
        <v>4</v>
      </c>
      <c r="AP220">
        <f t="shared" si="382"/>
        <v>48.165925925925926</v>
      </c>
      <c r="AR220" s="5">
        <f t="shared" si="343"/>
        <v>20.761564960629922</v>
      </c>
      <c r="AS220" s="5">
        <f t="shared" si="335"/>
        <v>1.0714285714285714</v>
      </c>
      <c r="AT220" s="5">
        <f t="shared" si="336"/>
        <v>19.690136389201349</v>
      </c>
      <c r="AU220" s="153">
        <f t="shared" si="337"/>
        <v>5.1606349206349204E-2</v>
      </c>
      <c r="CI220" s="59">
        <f t="shared" si="383"/>
        <v>-50</v>
      </c>
    </row>
    <row r="221" spans="5:88" x14ac:dyDescent="0.25">
      <c r="E221" s="150">
        <v>5</v>
      </c>
      <c r="F221" s="191">
        <f t="shared" si="384"/>
        <v>5.000000000000001E-3</v>
      </c>
      <c r="G221" s="191">
        <f t="shared" si="353"/>
        <v>5.000000000000001E-3</v>
      </c>
      <c r="H221" s="191">
        <f t="shared" si="354"/>
        <v>0.10000000000000002</v>
      </c>
      <c r="I221" s="191">
        <f t="shared" si="355"/>
        <v>8.0000000000000016E-2</v>
      </c>
      <c r="J221" s="472">
        <f t="shared" si="356"/>
        <v>21</v>
      </c>
      <c r="K221" s="386">
        <f t="shared" si="357"/>
        <v>20.32</v>
      </c>
      <c r="L221" s="386">
        <f t="shared" si="358"/>
        <v>41.32</v>
      </c>
      <c r="M221" s="386"/>
      <c r="N221" s="191">
        <f t="shared" si="359"/>
        <v>0.49177153920619554</v>
      </c>
      <c r="O221" s="152">
        <f t="shared" si="360"/>
        <v>1.9363504356243948</v>
      </c>
      <c r="P221" s="152">
        <f t="shared" si="361"/>
        <v>2.7883446272991286</v>
      </c>
      <c r="Q221" s="191">
        <f t="shared" si="362"/>
        <v>9.6817521781219745E-2</v>
      </c>
      <c r="R221" s="191">
        <f t="shared" si="363"/>
        <v>0.12102190222652467</v>
      </c>
      <c r="S221" s="191">
        <f t="shared" si="364"/>
        <v>20</v>
      </c>
      <c r="T221" s="191">
        <f t="shared" si="365"/>
        <v>3.8732658417697796E-2</v>
      </c>
      <c r="U221" s="191">
        <f t="shared" si="366"/>
        <v>0.27666184584069853</v>
      </c>
      <c r="V221" s="191">
        <f t="shared" si="367"/>
        <v>0.28592021469757228</v>
      </c>
      <c r="W221" s="175">
        <f t="shared" si="368"/>
        <v>350</v>
      </c>
      <c r="X221" s="386">
        <f t="shared" si="369"/>
        <v>350</v>
      </c>
      <c r="Z221" s="191">
        <f t="shared" si="370"/>
        <v>0.19670861568247827</v>
      </c>
      <c r="AA221" s="153">
        <f t="shared" si="371"/>
        <v>1.4520813165537272</v>
      </c>
      <c r="AB221" s="153">
        <f t="shared" si="372"/>
        <v>2.7770254714773877E-2</v>
      </c>
      <c r="AC221" s="153"/>
      <c r="AD221" s="153">
        <f t="shared" si="373"/>
        <v>1.1072834645669289</v>
      </c>
      <c r="AE221" s="317">
        <f t="shared" si="374"/>
        <v>60.207407407407423</v>
      </c>
      <c r="AF221" s="463">
        <f t="shared" si="375"/>
        <v>2.9066190944881887E-2</v>
      </c>
      <c r="AH221" s="153">
        <f t="shared" si="376"/>
        <v>8.2807867121082526E-2</v>
      </c>
      <c r="AI221" s="153">
        <f t="shared" si="377"/>
        <v>0.15</v>
      </c>
      <c r="AJ221" s="153">
        <f t="shared" si="378"/>
        <v>1.0344042328042329</v>
      </c>
      <c r="AL221" s="317">
        <f t="shared" si="379"/>
        <v>5.0000000000000009</v>
      </c>
      <c r="AM221" s="147">
        <f t="shared" si="380"/>
        <v>60.207407407407423</v>
      </c>
      <c r="AO221">
        <f t="shared" si="381"/>
        <v>5.0000000000000009</v>
      </c>
      <c r="AP221">
        <f t="shared" si="382"/>
        <v>60.207407407407423</v>
      </c>
      <c r="AR221" s="5">
        <f t="shared" si="343"/>
        <v>16.609251968503933</v>
      </c>
      <c r="AS221" s="5">
        <f t="shared" si="335"/>
        <v>1.0714285714285714</v>
      </c>
      <c r="AT221" s="5">
        <f t="shared" si="336"/>
        <v>15.537823397075362</v>
      </c>
      <c r="AU221" s="153">
        <f t="shared" si="337"/>
        <v>6.4507936507936514E-2</v>
      </c>
      <c r="CI221" s="59">
        <f t="shared" si="383"/>
        <v>-50</v>
      </c>
    </row>
    <row r="222" spans="5:88" x14ac:dyDescent="0.25">
      <c r="E222" s="150">
        <v>6</v>
      </c>
      <c r="F222" s="191">
        <f t="shared" si="384"/>
        <v>6.0000000000000001E-3</v>
      </c>
      <c r="G222" s="191">
        <f t="shared" si="353"/>
        <v>6.0000000000000001E-3</v>
      </c>
      <c r="H222" s="191">
        <f t="shared" si="354"/>
        <v>0.12</v>
      </c>
      <c r="I222" s="191">
        <f t="shared" si="355"/>
        <v>9.6000000000000002E-2</v>
      </c>
      <c r="J222" s="472">
        <f t="shared" si="356"/>
        <v>21</v>
      </c>
      <c r="K222" s="386">
        <f t="shared" si="357"/>
        <v>20.32</v>
      </c>
      <c r="L222" s="386">
        <f t="shared" si="358"/>
        <v>41.32</v>
      </c>
      <c r="M222" s="386"/>
      <c r="N222" s="191">
        <f t="shared" si="359"/>
        <v>0.49177153920619554</v>
      </c>
      <c r="O222" s="152">
        <f t="shared" si="360"/>
        <v>1.9363504356243948</v>
      </c>
      <c r="P222" s="152">
        <f t="shared" si="361"/>
        <v>2.7883446272991286</v>
      </c>
      <c r="Q222" s="191">
        <f t="shared" si="362"/>
        <v>9.6817521781219745E-2</v>
      </c>
      <c r="R222" s="191">
        <f t="shared" si="363"/>
        <v>0.12102190222652467</v>
      </c>
      <c r="S222" s="191">
        <f t="shared" si="364"/>
        <v>20</v>
      </c>
      <c r="T222" s="191">
        <f t="shared" si="365"/>
        <v>4.6479190101237342E-2</v>
      </c>
      <c r="U222" s="191">
        <f t="shared" si="366"/>
        <v>0.33199421500883808</v>
      </c>
      <c r="V222" s="191">
        <f t="shared" si="367"/>
        <v>0.34310425763708663</v>
      </c>
      <c r="W222" s="175">
        <f t="shared" si="368"/>
        <v>350</v>
      </c>
      <c r="X222" s="386">
        <f t="shared" si="369"/>
        <v>350</v>
      </c>
      <c r="Z222" s="191">
        <f t="shared" si="370"/>
        <v>0.19670861568247827</v>
      </c>
      <c r="AA222" s="153">
        <f t="shared" si="371"/>
        <v>1.4520813165537272</v>
      </c>
      <c r="AB222" s="153">
        <f t="shared" si="372"/>
        <v>2.7770254714773877E-2</v>
      </c>
      <c r="AC222" s="153"/>
      <c r="AD222" s="153">
        <f t="shared" si="373"/>
        <v>1.1072834645669289</v>
      </c>
      <c r="AE222" s="317">
        <f t="shared" si="374"/>
        <v>72.248888888888885</v>
      </c>
      <c r="AF222" s="463">
        <f t="shared" si="375"/>
        <v>2.9066190944881887E-2</v>
      </c>
      <c r="AH222" s="153">
        <f t="shared" si="376"/>
        <v>9.0711473522214536E-2</v>
      </c>
      <c r="AI222" s="153">
        <f t="shared" si="377"/>
        <v>0.15</v>
      </c>
      <c r="AJ222" s="153">
        <f t="shared" si="378"/>
        <v>1.0412850793650794</v>
      </c>
      <c r="AL222" s="317">
        <f t="shared" si="379"/>
        <v>6</v>
      </c>
      <c r="AM222" s="147">
        <f t="shared" si="380"/>
        <v>72.248888888888885</v>
      </c>
      <c r="AO222">
        <f t="shared" si="381"/>
        <v>6</v>
      </c>
      <c r="AP222">
        <f t="shared" si="382"/>
        <v>72.248888888888885</v>
      </c>
      <c r="AR222" s="5">
        <f t="shared" si="343"/>
        <v>13.841043307086615</v>
      </c>
      <c r="AS222" s="5">
        <f t="shared" si="335"/>
        <v>1.0714285714285714</v>
      </c>
      <c r="AT222" s="5">
        <f t="shared" si="336"/>
        <v>12.769614735658044</v>
      </c>
      <c r="AU222" s="153">
        <f t="shared" si="337"/>
        <v>7.7409523809523803E-2</v>
      </c>
      <c r="CI222" s="59">
        <f t="shared" si="383"/>
        <v>-50</v>
      </c>
    </row>
    <row r="223" spans="5:88" x14ac:dyDescent="0.25">
      <c r="E223" s="150">
        <v>7</v>
      </c>
      <c r="F223" s="191">
        <f t="shared" si="384"/>
        <v>7.000000000000001E-3</v>
      </c>
      <c r="G223" s="191">
        <f t="shared" si="353"/>
        <v>7.000000000000001E-3</v>
      </c>
      <c r="H223" s="191">
        <f t="shared" si="354"/>
        <v>0.14000000000000001</v>
      </c>
      <c r="I223" s="191">
        <f t="shared" si="355"/>
        <v>0.11200000000000002</v>
      </c>
      <c r="J223" s="472">
        <f t="shared" si="356"/>
        <v>21</v>
      </c>
      <c r="K223" s="386">
        <f t="shared" si="357"/>
        <v>20.32</v>
      </c>
      <c r="L223" s="386">
        <f t="shared" si="358"/>
        <v>41.32</v>
      </c>
      <c r="M223" s="386"/>
      <c r="N223" s="191">
        <f t="shared" si="359"/>
        <v>0.49177153920619554</v>
      </c>
      <c r="O223" s="152">
        <f t="shared" si="360"/>
        <v>1.9363504356243948</v>
      </c>
      <c r="P223" s="152">
        <f t="shared" si="361"/>
        <v>2.7883446272991286</v>
      </c>
      <c r="Q223" s="191">
        <f t="shared" si="362"/>
        <v>9.6817521781219745E-2</v>
      </c>
      <c r="R223" s="191">
        <f t="shared" si="363"/>
        <v>0.12102190222652467</v>
      </c>
      <c r="S223" s="191">
        <f t="shared" si="364"/>
        <v>20</v>
      </c>
      <c r="T223" s="191">
        <f t="shared" si="365"/>
        <v>5.4225721784776901E-2</v>
      </c>
      <c r="U223" s="191">
        <f t="shared" si="366"/>
        <v>0.3873265841769778</v>
      </c>
      <c r="V223" s="191">
        <f t="shared" si="367"/>
        <v>0.40028830057660109</v>
      </c>
      <c r="W223" s="175">
        <f t="shared" si="368"/>
        <v>350</v>
      </c>
      <c r="X223" s="386">
        <f t="shared" si="369"/>
        <v>350</v>
      </c>
      <c r="Z223" s="191">
        <f t="shared" si="370"/>
        <v>0.19670861568247827</v>
      </c>
      <c r="AA223" s="153">
        <f t="shared" si="371"/>
        <v>1.4520813165537272</v>
      </c>
      <c r="AB223" s="153">
        <f t="shared" si="372"/>
        <v>2.7770254714773877E-2</v>
      </c>
      <c r="AC223" s="153"/>
      <c r="AD223" s="153">
        <f t="shared" si="373"/>
        <v>1.1072834645669289</v>
      </c>
      <c r="AE223" s="317">
        <f t="shared" si="374"/>
        <v>84.290370370370397</v>
      </c>
      <c r="AF223" s="463">
        <f t="shared" si="375"/>
        <v>2.9066190944881887E-2</v>
      </c>
      <c r="AH223" s="153">
        <f t="shared" si="376"/>
        <v>9.7979589711327128E-2</v>
      </c>
      <c r="AI223" s="153">
        <f t="shared" si="377"/>
        <v>0.15</v>
      </c>
      <c r="AJ223" s="153">
        <f t="shared" si="378"/>
        <v>1.0481659259259259</v>
      </c>
      <c r="AL223" s="317">
        <f t="shared" si="379"/>
        <v>7.0000000000000009</v>
      </c>
      <c r="AM223" s="147">
        <f t="shared" si="380"/>
        <v>84.290370370370397</v>
      </c>
      <c r="AO223">
        <f t="shared" si="381"/>
        <v>7.0000000000000009</v>
      </c>
      <c r="AP223">
        <f t="shared" si="382"/>
        <v>84.290370370370397</v>
      </c>
      <c r="AR223" s="5">
        <f t="shared" si="343"/>
        <v>11.863751406074238</v>
      </c>
      <c r="AS223" s="5">
        <f t="shared" si="335"/>
        <v>1.0714285714285714</v>
      </c>
      <c r="AT223" s="5">
        <f t="shared" si="336"/>
        <v>10.792322834645667</v>
      </c>
      <c r="AU223" s="153">
        <f t="shared" si="337"/>
        <v>9.0311111111111134E-2</v>
      </c>
      <c r="CI223" s="59">
        <f t="shared" si="383"/>
        <v>-50</v>
      </c>
    </row>
    <row r="224" spans="5:88" x14ac:dyDescent="0.25">
      <c r="E224" s="150">
        <v>8</v>
      </c>
      <c r="F224" s="191">
        <f t="shared" si="384"/>
        <v>8.0000000000000002E-3</v>
      </c>
      <c r="G224" s="191">
        <f t="shared" si="353"/>
        <v>8.0000000000000002E-3</v>
      </c>
      <c r="H224" s="191">
        <f t="shared" si="354"/>
        <v>0.16</v>
      </c>
      <c r="I224" s="191">
        <f t="shared" si="355"/>
        <v>0.128</v>
      </c>
      <c r="J224" s="472">
        <f t="shared" si="356"/>
        <v>21</v>
      </c>
      <c r="K224" s="386">
        <f t="shared" si="357"/>
        <v>20.32</v>
      </c>
      <c r="L224" s="386">
        <f t="shared" si="358"/>
        <v>41.32</v>
      </c>
      <c r="M224" s="386"/>
      <c r="N224" s="191">
        <f t="shared" si="359"/>
        <v>0.49177153920619554</v>
      </c>
      <c r="O224" s="152">
        <f t="shared" si="360"/>
        <v>1.9363504356243948</v>
      </c>
      <c r="P224" s="152">
        <f t="shared" si="361"/>
        <v>2.7883446272991286</v>
      </c>
      <c r="Q224" s="191">
        <f t="shared" si="362"/>
        <v>9.6817521781219745E-2</v>
      </c>
      <c r="R224" s="191">
        <f t="shared" si="363"/>
        <v>0.12102190222652467</v>
      </c>
      <c r="S224" s="191">
        <f t="shared" si="364"/>
        <v>20</v>
      </c>
      <c r="T224" s="191">
        <f t="shared" si="365"/>
        <v>6.1972253468316467E-2</v>
      </c>
      <c r="U224" s="191">
        <f t="shared" si="366"/>
        <v>0.44265895334511757</v>
      </c>
      <c r="V224" s="191">
        <f t="shared" si="367"/>
        <v>0.4574723435161156</v>
      </c>
      <c r="W224" s="175">
        <f t="shared" si="368"/>
        <v>350</v>
      </c>
      <c r="X224" s="386">
        <f t="shared" si="369"/>
        <v>350</v>
      </c>
      <c r="Z224" s="191">
        <f t="shared" si="370"/>
        <v>0.19670861568247827</v>
      </c>
      <c r="AA224" s="153">
        <f t="shared" si="371"/>
        <v>1.4520813165537272</v>
      </c>
      <c r="AB224" s="153">
        <f t="shared" si="372"/>
        <v>2.7770254714773877E-2</v>
      </c>
      <c r="AC224" s="153"/>
      <c r="AD224" s="153">
        <f t="shared" si="373"/>
        <v>1.1072834645669289</v>
      </c>
      <c r="AE224" s="317">
        <f t="shared" si="374"/>
        <v>96.331851851851852</v>
      </c>
      <c r="AF224" s="463">
        <f t="shared" si="375"/>
        <v>2.9066190944881887E-2</v>
      </c>
      <c r="AH224" s="153">
        <f t="shared" si="376"/>
        <v>0.10474458731327636</v>
      </c>
      <c r="AI224" s="153">
        <f t="shared" si="377"/>
        <v>0.15</v>
      </c>
      <c r="AJ224" s="153">
        <f t="shared" si="378"/>
        <v>1.0550467724867725</v>
      </c>
      <c r="AL224" s="317">
        <f t="shared" si="379"/>
        <v>8</v>
      </c>
      <c r="AM224" s="147">
        <f t="shared" si="380"/>
        <v>96.331851851851852</v>
      </c>
      <c r="AO224">
        <f t="shared" si="381"/>
        <v>8</v>
      </c>
      <c r="AP224">
        <f t="shared" si="382"/>
        <v>96.331851851851852</v>
      </c>
      <c r="AR224" s="5">
        <f t="shared" si="343"/>
        <v>10.380782480314961</v>
      </c>
      <c r="AS224" s="5">
        <f t="shared" si="335"/>
        <v>1.0714285714285714</v>
      </c>
      <c r="AT224" s="5">
        <f t="shared" si="336"/>
        <v>9.3093539088863899</v>
      </c>
      <c r="AU224" s="153">
        <f t="shared" si="337"/>
        <v>0.10321269841269841</v>
      </c>
      <c r="CI224" s="59">
        <f t="shared" si="383"/>
        <v>-50</v>
      </c>
    </row>
    <row r="225" spans="5:87" x14ac:dyDescent="0.25">
      <c r="E225" s="150">
        <v>9</v>
      </c>
      <c r="F225" s="191">
        <f t="shared" si="384"/>
        <v>8.9999999999999993E-3</v>
      </c>
      <c r="G225" s="191">
        <f t="shared" si="353"/>
        <v>8.9999999999999993E-3</v>
      </c>
      <c r="H225" s="191">
        <f t="shared" si="354"/>
        <v>0.18</v>
      </c>
      <c r="I225" s="191">
        <f t="shared" si="355"/>
        <v>0.14399999999999999</v>
      </c>
      <c r="J225" s="472">
        <f t="shared" si="356"/>
        <v>21</v>
      </c>
      <c r="K225" s="386">
        <f t="shared" si="357"/>
        <v>20.32</v>
      </c>
      <c r="L225" s="386">
        <f t="shared" si="358"/>
        <v>41.32</v>
      </c>
      <c r="M225" s="386"/>
      <c r="N225" s="191">
        <f t="shared" si="359"/>
        <v>0.49177153920619554</v>
      </c>
      <c r="O225" s="152">
        <f t="shared" si="360"/>
        <v>1.9363504356243948</v>
      </c>
      <c r="P225" s="152">
        <f t="shared" si="361"/>
        <v>2.7883446272991286</v>
      </c>
      <c r="Q225" s="191">
        <f t="shared" si="362"/>
        <v>9.6817521781219745E-2</v>
      </c>
      <c r="R225" s="191">
        <f t="shared" si="363"/>
        <v>0.12102190222652467</v>
      </c>
      <c r="S225" s="191">
        <f t="shared" si="364"/>
        <v>20</v>
      </c>
      <c r="T225" s="191">
        <f t="shared" si="365"/>
        <v>6.9718785151856005E-2</v>
      </c>
      <c r="U225" s="191">
        <f t="shared" si="366"/>
        <v>0.49799132251325717</v>
      </c>
      <c r="V225" s="191">
        <f t="shared" si="367"/>
        <v>0.51465638645562994</v>
      </c>
      <c r="W225" s="175">
        <f t="shared" si="368"/>
        <v>350</v>
      </c>
      <c r="X225" s="386">
        <f t="shared" si="369"/>
        <v>350</v>
      </c>
      <c r="Z225" s="191">
        <f t="shared" si="370"/>
        <v>0.19670861568247827</v>
      </c>
      <c r="AA225" s="153">
        <f t="shared" si="371"/>
        <v>1.4520813165537272</v>
      </c>
      <c r="AB225" s="153">
        <f t="shared" si="372"/>
        <v>2.7770254714773877E-2</v>
      </c>
      <c r="AC225" s="153"/>
      <c r="AD225" s="153">
        <f t="shared" si="373"/>
        <v>1.1072834645669289</v>
      </c>
      <c r="AE225" s="317">
        <f t="shared" si="374"/>
        <v>108.37333333333333</v>
      </c>
      <c r="AF225" s="463">
        <f t="shared" si="375"/>
        <v>2.9066190944881887E-2</v>
      </c>
      <c r="AH225" s="153">
        <f t="shared" si="376"/>
        <v>0.11109841197270617</v>
      </c>
      <c r="AI225" s="153">
        <f t="shared" si="377"/>
        <v>0.15</v>
      </c>
      <c r="AJ225" s="153">
        <f t="shared" si="378"/>
        <v>1.061927619047619</v>
      </c>
      <c r="AL225" s="317">
        <f t="shared" si="379"/>
        <v>9</v>
      </c>
      <c r="AM225" s="147">
        <f t="shared" si="380"/>
        <v>108.37333333333333</v>
      </c>
      <c r="AO225">
        <f t="shared" si="381"/>
        <v>9</v>
      </c>
      <c r="AP225">
        <f t="shared" si="382"/>
        <v>108.37333333333333</v>
      </c>
      <c r="AR225" s="5">
        <f t="shared" si="343"/>
        <v>9.2273622047244093</v>
      </c>
      <c r="AS225" s="5">
        <f t="shared" si="335"/>
        <v>1.0714285714285714</v>
      </c>
      <c r="AT225" s="5">
        <f t="shared" si="336"/>
        <v>8.1559336332958381</v>
      </c>
      <c r="AU225" s="153">
        <f t="shared" si="337"/>
        <v>0.11611428571428571</v>
      </c>
      <c r="CI225" s="59">
        <f t="shared" si="383"/>
        <v>-50</v>
      </c>
    </row>
    <row r="226" spans="5:87" x14ac:dyDescent="0.25">
      <c r="E226" s="150">
        <v>10</v>
      </c>
      <c r="F226" s="191">
        <f t="shared" si="384"/>
        <v>1.0000000000000002E-2</v>
      </c>
      <c r="G226" s="191">
        <f t="shared" si="353"/>
        <v>1.0000000000000002E-2</v>
      </c>
      <c r="H226" s="191">
        <f t="shared" si="354"/>
        <v>0.20000000000000004</v>
      </c>
      <c r="I226" s="191">
        <f t="shared" si="355"/>
        <v>0.16000000000000003</v>
      </c>
      <c r="J226" s="472">
        <f t="shared" si="356"/>
        <v>21</v>
      </c>
      <c r="K226" s="386">
        <f t="shared" si="357"/>
        <v>20.32</v>
      </c>
      <c r="L226" s="386">
        <f t="shared" si="358"/>
        <v>41.32</v>
      </c>
      <c r="M226" s="386"/>
      <c r="N226" s="191">
        <f t="shared" si="359"/>
        <v>0.49177153920619554</v>
      </c>
      <c r="O226" s="152">
        <f t="shared" si="360"/>
        <v>1.9363504356243948</v>
      </c>
      <c r="P226" s="152">
        <f t="shared" si="361"/>
        <v>2.7883446272991286</v>
      </c>
      <c r="Q226" s="191">
        <f t="shared" si="362"/>
        <v>9.6817521781219745E-2</v>
      </c>
      <c r="R226" s="191">
        <f t="shared" si="363"/>
        <v>0.12102190222652467</v>
      </c>
      <c r="S226" s="191">
        <f t="shared" si="364"/>
        <v>20</v>
      </c>
      <c r="T226" s="191">
        <f t="shared" si="365"/>
        <v>7.7465316835395592E-2</v>
      </c>
      <c r="U226" s="191">
        <f t="shared" si="366"/>
        <v>0.55332369168139706</v>
      </c>
      <c r="V226" s="191">
        <f t="shared" si="367"/>
        <v>0.57184042939514457</v>
      </c>
      <c r="W226" s="175">
        <f t="shared" si="368"/>
        <v>350</v>
      </c>
      <c r="X226" s="386">
        <f t="shared" si="369"/>
        <v>350</v>
      </c>
      <c r="Z226" s="191">
        <f t="shared" si="370"/>
        <v>0.19670861568247827</v>
      </c>
      <c r="AA226" s="153">
        <f t="shared" si="371"/>
        <v>1.4520813165537272</v>
      </c>
      <c r="AB226" s="153">
        <f t="shared" si="372"/>
        <v>2.7770254714773877E-2</v>
      </c>
      <c r="AC226" s="153"/>
      <c r="AD226" s="153">
        <f t="shared" si="373"/>
        <v>1.1072834645669289</v>
      </c>
      <c r="AE226" s="317">
        <f t="shared" si="374"/>
        <v>120.41481481481485</v>
      </c>
      <c r="AF226" s="463">
        <f t="shared" si="375"/>
        <v>2.9066190944881887E-2</v>
      </c>
      <c r="AH226" s="153">
        <f t="shared" si="376"/>
        <v>0.117108008753824</v>
      </c>
      <c r="AI226" s="153">
        <f t="shared" si="377"/>
        <v>0.15</v>
      </c>
      <c r="AJ226" s="153">
        <f t="shared" si="378"/>
        <v>1.0688084656084655</v>
      </c>
      <c r="AL226" s="317">
        <f t="shared" si="379"/>
        <v>10.000000000000002</v>
      </c>
      <c r="AM226" s="147">
        <f t="shared" si="380"/>
        <v>120.41481481481485</v>
      </c>
      <c r="AO226">
        <f t="shared" si="381"/>
        <v>10.000000000000002</v>
      </c>
      <c r="AP226">
        <f t="shared" si="382"/>
        <v>120.41481481481485</v>
      </c>
      <c r="AR226" s="5">
        <f t="shared" si="343"/>
        <v>8.3046259842519667</v>
      </c>
      <c r="AS226" s="5">
        <f t="shared" si="335"/>
        <v>1.0714285714285714</v>
      </c>
      <c r="AT226" s="5">
        <f t="shared" si="336"/>
        <v>7.2331974128233956</v>
      </c>
      <c r="AU226" s="153">
        <f t="shared" si="337"/>
        <v>0.12901587301587303</v>
      </c>
      <c r="CI226" s="59">
        <f t="shared" si="383"/>
        <v>-50</v>
      </c>
    </row>
    <row r="227" spans="5:87" x14ac:dyDescent="0.25">
      <c r="E227" s="150">
        <v>11</v>
      </c>
      <c r="F227" s="191">
        <f t="shared" si="384"/>
        <v>1.1000000000000001E-2</v>
      </c>
      <c r="G227" s="191">
        <f t="shared" si="353"/>
        <v>1.1000000000000001E-2</v>
      </c>
      <c r="H227" s="191">
        <f t="shared" si="354"/>
        <v>0.22000000000000003</v>
      </c>
      <c r="I227" s="191">
        <f t="shared" si="355"/>
        <v>0.17600000000000002</v>
      </c>
      <c r="J227" s="472">
        <f t="shared" si="356"/>
        <v>21</v>
      </c>
      <c r="K227" s="386">
        <f t="shared" si="357"/>
        <v>20.32</v>
      </c>
      <c r="L227" s="386">
        <f t="shared" si="358"/>
        <v>41.32</v>
      </c>
      <c r="M227" s="386"/>
      <c r="N227" s="191">
        <f t="shared" si="359"/>
        <v>0.49177153920619554</v>
      </c>
      <c r="O227" s="152">
        <f t="shared" si="360"/>
        <v>1.9363504356243948</v>
      </c>
      <c r="P227" s="152">
        <f t="shared" si="361"/>
        <v>2.7883446272991286</v>
      </c>
      <c r="Q227" s="191">
        <f t="shared" si="362"/>
        <v>9.6817521781219745E-2</v>
      </c>
      <c r="R227" s="191">
        <f t="shared" si="363"/>
        <v>0.12102190222652467</v>
      </c>
      <c r="S227" s="191">
        <f t="shared" si="364"/>
        <v>20</v>
      </c>
      <c r="T227" s="191">
        <f t="shared" si="365"/>
        <v>8.5211848518935138E-2</v>
      </c>
      <c r="U227" s="191">
        <f t="shared" si="366"/>
        <v>0.60865606084953661</v>
      </c>
      <c r="V227" s="191">
        <f t="shared" si="367"/>
        <v>0.62902447233465897</v>
      </c>
      <c r="W227" s="175">
        <f t="shared" si="368"/>
        <v>350</v>
      </c>
      <c r="X227" s="386">
        <f t="shared" si="369"/>
        <v>350</v>
      </c>
      <c r="Z227" s="191">
        <f t="shared" si="370"/>
        <v>0.19670861568247827</v>
      </c>
      <c r="AA227" s="153">
        <f t="shared" si="371"/>
        <v>1.4520813165537272</v>
      </c>
      <c r="AB227" s="153">
        <f t="shared" si="372"/>
        <v>2.7770254714773877E-2</v>
      </c>
      <c r="AC227" s="153"/>
      <c r="AD227" s="153">
        <f t="shared" si="373"/>
        <v>1.1072834645669289</v>
      </c>
      <c r="AE227" s="317">
        <f t="shared" si="374"/>
        <v>132.45629629629633</v>
      </c>
      <c r="AF227" s="463">
        <f t="shared" si="375"/>
        <v>2.9066190944881887E-2</v>
      </c>
      <c r="AH227" s="153">
        <f t="shared" si="376"/>
        <v>0.12282391577259817</v>
      </c>
      <c r="AI227" s="153">
        <f t="shared" si="377"/>
        <v>0.15</v>
      </c>
      <c r="AJ227" s="153">
        <f t="shared" si="378"/>
        <v>1.0756893121693123</v>
      </c>
      <c r="AL227" s="317">
        <f t="shared" si="379"/>
        <v>11.000000000000002</v>
      </c>
      <c r="AM227" s="147">
        <f t="shared" si="380"/>
        <v>132.45629629629633</v>
      </c>
      <c r="AO227">
        <f t="shared" si="381"/>
        <v>11.000000000000002</v>
      </c>
      <c r="AP227">
        <f t="shared" si="382"/>
        <v>132.45629629629633</v>
      </c>
      <c r="AR227" s="5">
        <f t="shared" si="343"/>
        <v>7.549659985683606</v>
      </c>
      <c r="AS227" s="5">
        <f t="shared" si="335"/>
        <v>1.0714285714285714</v>
      </c>
      <c r="AT227" s="5">
        <f t="shared" si="336"/>
        <v>6.4782314142550348</v>
      </c>
      <c r="AU227" s="153">
        <f t="shared" si="337"/>
        <v>0.14191746031746036</v>
      </c>
      <c r="CI227" s="59">
        <f t="shared" si="383"/>
        <v>-50</v>
      </c>
    </row>
    <row r="228" spans="5:87" x14ac:dyDescent="0.25">
      <c r="E228" s="150">
        <v>12</v>
      </c>
      <c r="F228" s="191">
        <f t="shared" si="384"/>
        <v>1.2E-2</v>
      </c>
      <c r="G228" s="191">
        <f t="shared" si="353"/>
        <v>1.2E-2</v>
      </c>
      <c r="H228" s="191">
        <f t="shared" si="354"/>
        <v>0.24</v>
      </c>
      <c r="I228" s="191">
        <f t="shared" si="355"/>
        <v>0.192</v>
      </c>
      <c r="J228" s="472">
        <f t="shared" si="356"/>
        <v>21</v>
      </c>
      <c r="K228" s="386">
        <f t="shared" si="357"/>
        <v>20.32</v>
      </c>
      <c r="L228" s="386">
        <f t="shared" si="358"/>
        <v>41.32</v>
      </c>
      <c r="M228" s="386"/>
      <c r="N228" s="191">
        <f t="shared" si="359"/>
        <v>0.49177153920619554</v>
      </c>
      <c r="O228" s="152">
        <f t="shared" si="360"/>
        <v>1.9363504356243948</v>
      </c>
      <c r="P228" s="152">
        <f t="shared" si="361"/>
        <v>2.7883446272991286</v>
      </c>
      <c r="Q228" s="191">
        <f t="shared" si="362"/>
        <v>9.6817521781219745E-2</v>
      </c>
      <c r="R228" s="191">
        <f t="shared" si="363"/>
        <v>0.12102190222652467</v>
      </c>
      <c r="S228" s="191">
        <f t="shared" si="364"/>
        <v>20</v>
      </c>
      <c r="T228" s="191">
        <f t="shared" si="365"/>
        <v>9.2958380202474683E-2</v>
      </c>
      <c r="U228" s="191">
        <f t="shared" si="366"/>
        <v>0.66398843001767616</v>
      </c>
      <c r="V228" s="191">
        <f t="shared" si="367"/>
        <v>0.68620851527417326</v>
      </c>
      <c r="W228" s="175">
        <f t="shared" si="368"/>
        <v>350</v>
      </c>
      <c r="X228" s="386">
        <f t="shared" si="369"/>
        <v>350</v>
      </c>
      <c r="Z228" s="191">
        <f t="shared" si="370"/>
        <v>0.19670861568247827</v>
      </c>
      <c r="AA228" s="153">
        <f t="shared" si="371"/>
        <v>1.4520813165537272</v>
      </c>
      <c r="AB228" s="153">
        <f t="shared" si="372"/>
        <v>2.7770254714773877E-2</v>
      </c>
      <c r="AC228" s="153"/>
      <c r="AD228" s="153">
        <f t="shared" si="373"/>
        <v>1.1072834645669289</v>
      </c>
      <c r="AE228" s="317">
        <f t="shared" si="374"/>
        <v>144.49777777777777</v>
      </c>
      <c r="AF228" s="463">
        <f t="shared" si="375"/>
        <v>2.9066190944881887E-2</v>
      </c>
      <c r="AH228" s="153">
        <f t="shared" si="376"/>
        <v>0.12828539611796372</v>
      </c>
      <c r="AI228" s="153">
        <f t="shared" si="377"/>
        <v>0.15</v>
      </c>
      <c r="AJ228" s="153">
        <f t="shared" si="378"/>
        <v>1.0825701587301588</v>
      </c>
      <c r="AL228" s="317">
        <f t="shared" si="379"/>
        <v>12</v>
      </c>
      <c r="AM228" s="147">
        <f t="shared" si="380"/>
        <v>144.49777777777777</v>
      </c>
      <c r="AO228">
        <f t="shared" si="381"/>
        <v>12</v>
      </c>
      <c r="AP228">
        <f t="shared" si="382"/>
        <v>144.49777777777777</v>
      </c>
      <c r="AR228" s="5">
        <f t="shared" si="343"/>
        <v>6.9205216535433074</v>
      </c>
      <c r="AS228" s="5">
        <f t="shared" si="335"/>
        <v>1.0714285714285714</v>
      </c>
      <c r="AT228" s="5">
        <f t="shared" si="336"/>
        <v>5.8490930821147362</v>
      </c>
      <c r="AU228" s="153">
        <f t="shared" si="337"/>
        <v>0.15481904761904761</v>
      </c>
      <c r="CI228" s="59">
        <f t="shared" si="383"/>
        <v>-50</v>
      </c>
    </row>
    <row r="229" spans="5:87" x14ac:dyDescent="0.25">
      <c r="E229" s="150">
        <v>13</v>
      </c>
      <c r="F229" s="191">
        <f t="shared" si="384"/>
        <v>1.3000000000000001E-2</v>
      </c>
      <c r="G229" s="191">
        <f t="shared" si="353"/>
        <v>1.3000000000000001E-2</v>
      </c>
      <c r="H229" s="191">
        <f t="shared" si="354"/>
        <v>0.26</v>
      </c>
      <c r="I229" s="191">
        <f t="shared" si="355"/>
        <v>0.20800000000000002</v>
      </c>
      <c r="J229" s="472">
        <f t="shared" si="356"/>
        <v>21</v>
      </c>
      <c r="K229" s="386">
        <f t="shared" si="357"/>
        <v>20.32</v>
      </c>
      <c r="L229" s="386">
        <f t="shared" si="358"/>
        <v>41.32</v>
      </c>
      <c r="M229" s="386"/>
      <c r="N229" s="191">
        <f t="shared" si="359"/>
        <v>0.49177153920619554</v>
      </c>
      <c r="O229" s="152">
        <f t="shared" si="360"/>
        <v>1.9363504356243948</v>
      </c>
      <c r="P229" s="152">
        <f t="shared" si="361"/>
        <v>2.7883446272991286</v>
      </c>
      <c r="Q229" s="191">
        <f t="shared" si="362"/>
        <v>9.6817521781219745E-2</v>
      </c>
      <c r="R229" s="191">
        <f t="shared" si="363"/>
        <v>0.12102190222652467</v>
      </c>
      <c r="S229" s="191">
        <f t="shared" si="364"/>
        <v>20</v>
      </c>
      <c r="T229" s="191">
        <f t="shared" si="365"/>
        <v>0.10070491188601424</v>
      </c>
      <c r="U229" s="191">
        <f t="shared" si="366"/>
        <v>0.71932079918581593</v>
      </c>
      <c r="V229" s="191">
        <f t="shared" si="367"/>
        <v>0.74339255821368777</v>
      </c>
      <c r="W229" s="175">
        <f t="shared" si="368"/>
        <v>350</v>
      </c>
      <c r="X229" s="386">
        <f t="shared" si="369"/>
        <v>350</v>
      </c>
      <c r="Z229" s="191">
        <f t="shared" si="370"/>
        <v>0.19670861568247827</v>
      </c>
      <c r="AA229" s="153">
        <f t="shared" si="371"/>
        <v>1.4520813165537272</v>
      </c>
      <c r="AB229" s="153">
        <f t="shared" si="372"/>
        <v>2.7770254714773877E-2</v>
      </c>
      <c r="AC229" s="153"/>
      <c r="AD229" s="153">
        <f t="shared" si="373"/>
        <v>1.1072834645669289</v>
      </c>
      <c r="AE229" s="317">
        <f t="shared" si="374"/>
        <v>156.53925925925927</v>
      </c>
      <c r="AF229" s="463">
        <f t="shared" si="375"/>
        <v>2.9066190944881887E-2</v>
      </c>
      <c r="AH229" s="153">
        <f t="shared" si="376"/>
        <v>0.13352367366340484</v>
      </c>
      <c r="AI229" s="153">
        <f t="shared" si="377"/>
        <v>0.15</v>
      </c>
      <c r="AJ229" s="153">
        <f t="shared" si="378"/>
        <v>1.0894510052910054</v>
      </c>
      <c r="AL229" s="317">
        <f t="shared" si="379"/>
        <v>13.000000000000002</v>
      </c>
      <c r="AM229" s="147">
        <f t="shared" si="380"/>
        <v>156.53925925925927</v>
      </c>
      <c r="AO229">
        <f t="shared" si="381"/>
        <v>13.000000000000002</v>
      </c>
      <c r="AP229">
        <f t="shared" si="382"/>
        <v>156.53925925925927</v>
      </c>
      <c r="AR229" s="5">
        <f t="shared" si="343"/>
        <v>6.3881738340399759</v>
      </c>
      <c r="AS229" s="5">
        <f t="shared" si="335"/>
        <v>1.0714285714285714</v>
      </c>
      <c r="AT229" s="5">
        <f t="shared" si="336"/>
        <v>5.3167452626114047</v>
      </c>
      <c r="AU229" s="153">
        <f t="shared" si="337"/>
        <v>0.16772063492063491</v>
      </c>
      <c r="CI229" s="59">
        <f t="shared" si="383"/>
        <v>-50</v>
      </c>
    </row>
    <row r="230" spans="5:87" x14ac:dyDescent="0.25">
      <c r="E230" s="150">
        <v>14</v>
      </c>
      <c r="F230" s="191">
        <f t="shared" si="384"/>
        <v>1.4000000000000002E-2</v>
      </c>
      <c r="G230" s="191">
        <f t="shared" si="353"/>
        <v>1.4000000000000002E-2</v>
      </c>
      <c r="H230" s="191">
        <f t="shared" si="354"/>
        <v>0.28000000000000003</v>
      </c>
      <c r="I230" s="191">
        <f t="shared" si="355"/>
        <v>0.22400000000000003</v>
      </c>
      <c r="J230" s="472">
        <f t="shared" si="356"/>
        <v>21</v>
      </c>
      <c r="K230" s="386">
        <f t="shared" si="357"/>
        <v>20.32</v>
      </c>
      <c r="L230" s="386">
        <f t="shared" si="358"/>
        <v>41.32</v>
      </c>
      <c r="M230" s="386"/>
      <c r="N230" s="191">
        <f t="shared" si="359"/>
        <v>0.49177153920619554</v>
      </c>
      <c r="O230" s="152">
        <f t="shared" si="360"/>
        <v>1.9363504356243948</v>
      </c>
      <c r="P230" s="152">
        <f t="shared" si="361"/>
        <v>2.7883446272991286</v>
      </c>
      <c r="Q230" s="191">
        <f t="shared" si="362"/>
        <v>9.6817521781219745E-2</v>
      </c>
      <c r="R230" s="191">
        <f t="shared" si="363"/>
        <v>0.12102190222652467</v>
      </c>
      <c r="S230" s="191">
        <f t="shared" si="364"/>
        <v>20</v>
      </c>
      <c r="T230" s="191">
        <f t="shared" si="365"/>
        <v>0.1084514435695538</v>
      </c>
      <c r="U230" s="191">
        <f t="shared" si="366"/>
        <v>0.77465316835395559</v>
      </c>
      <c r="V230" s="191">
        <f t="shared" si="367"/>
        <v>0.80057660115320217</v>
      </c>
      <c r="W230" s="175">
        <f t="shared" si="368"/>
        <v>350</v>
      </c>
      <c r="X230" s="386">
        <f t="shared" si="369"/>
        <v>350</v>
      </c>
      <c r="Z230" s="191">
        <f t="shared" si="370"/>
        <v>0.19670861568247827</v>
      </c>
      <c r="AA230" s="153">
        <f t="shared" si="371"/>
        <v>1.4520813165537272</v>
      </c>
      <c r="AB230" s="153">
        <f t="shared" si="372"/>
        <v>2.7770254714773877E-2</v>
      </c>
      <c r="AC230" s="153"/>
      <c r="AD230" s="153">
        <f t="shared" si="373"/>
        <v>1.1072834645669289</v>
      </c>
      <c r="AE230" s="317">
        <f t="shared" si="374"/>
        <v>168.58074074074079</v>
      </c>
      <c r="AF230" s="463">
        <f t="shared" si="375"/>
        <v>2.9066190944881887E-2</v>
      </c>
      <c r="AH230" s="153">
        <f t="shared" si="376"/>
        <v>0.13856406460551018</v>
      </c>
      <c r="AI230" s="153">
        <f t="shared" si="377"/>
        <v>0.15</v>
      </c>
      <c r="AJ230" s="153">
        <f t="shared" si="378"/>
        <v>1.0963318518518519</v>
      </c>
      <c r="AL230" s="317">
        <f t="shared" si="379"/>
        <v>14.000000000000002</v>
      </c>
      <c r="AM230" s="147">
        <f t="shared" si="380"/>
        <v>168.58074074074079</v>
      </c>
      <c r="AO230">
        <f t="shared" si="381"/>
        <v>14.000000000000002</v>
      </c>
      <c r="AP230">
        <f t="shared" si="382"/>
        <v>168.58074074074079</v>
      </c>
      <c r="AR230" s="5">
        <f t="shared" si="343"/>
        <v>5.931875703037119</v>
      </c>
      <c r="AS230" s="5">
        <f t="shared" si="335"/>
        <v>1.0714285714285714</v>
      </c>
      <c r="AT230" s="5">
        <f t="shared" si="336"/>
        <v>4.8604471316085478</v>
      </c>
      <c r="AU230" s="153">
        <f t="shared" si="337"/>
        <v>0.18062222222222227</v>
      </c>
      <c r="CI230" s="59">
        <f t="shared" si="383"/>
        <v>-50</v>
      </c>
    </row>
    <row r="231" spans="5:87" x14ac:dyDescent="0.25">
      <c r="E231" s="150">
        <v>15</v>
      </c>
      <c r="F231" s="191">
        <f t="shared" si="384"/>
        <v>1.4999999999999999E-2</v>
      </c>
      <c r="G231" s="191">
        <f t="shared" si="353"/>
        <v>1.4999999999999999E-2</v>
      </c>
      <c r="H231" s="191">
        <f t="shared" si="354"/>
        <v>0.3</v>
      </c>
      <c r="I231" s="191">
        <f t="shared" si="355"/>
        <v>0.24</v>
      </c>
      <c r="J231" s="472">
        <f t="shared" si="356"/>
        <v>21</v>
      </c>
      <c r="K231" s="386">
        <f t="shared" si="357"/>
        <v>20.32</v>
      </c>
      <c r="L231" s="386">
        <f t="shared" si="358"/>
        <v>41.32</v>
      </c>
      <c r="M231" s="386"/>
      <c r="N231" s="191">
        <f t="shared" si="359"/>
        <v>0.49177153920619554</v>
      </c>
      <c r="O231" s="152">
        <f t="shared" si="360"/>
        <v>1.9363504356243948</v>
      </c>
      <c r="P231" s="152">
        <f t="shared" si="361"/>
        <v>2.7883446272991286</v>
      </c>
      <c r="Q231" s="191">
        <f t="shared" si="362"/>
        <v>9.6817521781219745E-2</v>
      </c>
      <c r="R231" s="191">
        <f t="shared" si="363"/>
        <v>0.12102190222652467</v>
      </c>
      <c r="S231" s="191">
        <f t="shared" si="364"/>
        <v>20</v>
      </c>
      <c r="T231" s="191">
        <f t="shared" si="365"/>
        <v>0.11619797525309336</v>
      </c>
      <c r="U231" s="191">
        <f t="shared" si="366"/>
        <v>0.82998553752209525</v>
      </c>
      <c r="V231" s="191">
        <f t="shared" si="367"/>
        <v>0.85776064409271657</v>
      </c>
      <c r="W231" s="175">
        <f t="shared" si="368"/>
        <v>350</v>
      </c>
      <c r="X231" s="386">
        <f t="shared" si="369"/>
        <v>350</v>
      </c>
      <c r="Z231" s="191">
        <f t="shared" si="370"/>
        <v>0.19670861568247827</v>
      </c>
      <c r="AA231" s="153">
        <f t="shared" si="371"/>
        <v>1.4520813165537272</v>
      </c>
      <c r="AB231" s="153">
        <f t="shared" si="372"/>
        <v>2.7770254714773877E-2</v>
      </c>
      <c r="AC231" s="153"/>
      <c r="AD231" s="153">
        <f t="shared" si="373"/>
        <v>1.1072834645669289</v>
      </c>
      <c r="AE231" s="317">
        <f t="shared" si="374"/>
        <v>180.62222222222221</v>
      </c>
      <c r="AF231" s="463">
        <f t="shared" si="375"/>
        <v>2.9066190944881887E-2</v>
      </c>
      <c r="AH231" s="153">
        <f t="shared" si="376"/>
        <v>0.14342743312012723</v>
      </c>
      <c r="AI231" s="153">
        <f t="shared" si="377"/>
        <v>0.15</v>
      </c>
      <c r="AJ231" s="153">
        <f t="shared" si="378"/>
        <v>1.1032126984126984</v>
      </c>
      <c r="AL231" s="317">
        <f t="shared" si="379"/>
        <v>15</v>
      </c>
      <c r="AM231" s="147">
        <f t="shared" si="380"/>
        <v>180.62222222222221</v>
      </c>
      <c r="AO231">
        <f t="shared" si="381"/>
        <v>15</v>
      </c>
      <c r="AP231">
        <f t="shared" si="382"/>
        <v>180.62222222222221</v>
      </c>
      <c r="AR231" s="5">
        <f t="shared" si="343"/>
        <v>5.5364173228346463</v>
      </c>
      <c r="AS231" s="5">
        <f t="shared" si="335"/>
        <v>1.0714285714285714</v>
      </c>
      <c r="AT231" s="5">
        <f t="shared" si="336"/>
        <v>4.4649887514060751</v>
      </c>
      <c r="AU231" s="153">
        <f t="shared" si="337"/>
        <v>0.19352380952380949</v>
      </c>
      <c r="CI231" s="59">
        <f t="shared" si="383"/>
        <v>-50</v>
      </c>
    </row>
    <row r="232" spans="5:87" x14ac:dyDescent="0.25">
      <c r="E232" s="150">
        <v>16</v>
      </c>
      <c r="F232" s="191">
        <f t="shared" si="384"/>
        <v>1.6E-2</v>
      </c>
      <c r="G232" s="191">
        <f t="shared" si="353"/>
        <v>1.6E-2</v>
      </c>
      <c r="H232" s="191">
        <f t="shared" si="354"/>
        <v>0.32</v>
      </c>
      <c r="I232" s="191">
        <f t="shared" si="355"/>
        <v>0.25600000000000001</v>
      </c>
      <c r="J232" s="472">
        <f t="shared" si="356"/>
        <v>21</v>
      </c>
      <c r="K232" s="386">
        <f t="shared" si="357"/>
        <v>20.32</v>
      </c>
      <c r="L232" s="386">
        <f t="shared" si="358"/>
        <v>41.32</v>
      </c>
      <c r="M232" s="386"/>
      <c r="N232" s="191">
        <f t="shared" si="359"/>
        <v>0.49177153920619554</v>
      </c>
      <c r="O232" s="152">
        <f t="shared" si="360"/>
        <v>1.9363504356243948</v>
      </c>
      <c r="P232" s="152">
        <f t="shared" si="361"/>
        <v>2.7883446272991286</v>
      </c>
      <c r="Q232" s="191">
        <f t="shared" si="362"/>
        <v>9.6817521781219745E-2</v>
      </c>
      <c r="R232" s="191">
        <f t="shared" si="363"/>
        <v>0.12102190222652467</v>
      </c>
      <c r="S232" s="191">
        <f t="shared" si="364"/>
        <v>20</v>
      </c>
      <c r="T232" s="191">
        <f t="shared" si="365"/>
        <v>0.12394450693663293</v>
      </c>
      <c r="U232" s="191">
        <f t="shared" si="366"/>
        <v>0.88531790669023513</v>
      </c>
      <c r="V232" s="191">
        <f t="shared" si="367"/>
        <v>0.9149446870322312</v>
      </c>
      <c r="W232" s="175">
        <f t="shared" si="368"/>
        <v>350</v>
      </c>
      <c r="X232" s="386">
        <f t="shared" si="369"/>
        <v>350</v>
      </c>
      <c r="Z232" s="191">
        <f t="shared" si="370"/>
        <v>0.19670861568247827</v>
      </c>
      <c r="AA232" s="153">
        <f t="shared" si="371"/>
        <v>1.4520813165537272</v>
      </c>
      <c r="AB232" s="153">
        <f t="shared" si="372"/>
        <v>2.7770254714773877E-2</v>
      </c>
      <c r="AC232" s="153"/>
      <c r="AD232" s="153">
        <f t="shared" si="373"/>
        <v>1.1072834645669289</v>
      </c>
      <c r="AE232" s="317">
        <f t="shared" si="374"/>
        <v>192.6637037037037</v>
      </c>
      <c r="AF232" s="463">
        <f t="shared" si="375"/>
        <v>2.9066190944881887E-2</v>
      </c>
      <c r="AH232" s="153">
        <f t="shared" si="376"/>
        <v>0.14813121596360826</v>
      </c>
      <c r="AI232" s="153">
        <f t="shared" si="377"/>
        <v>0.15</v>
      </c>
      <c r="AJ232" s="153">
        <f t="shared" si="378"/>
        <v>1.110093544973545</v>
      </c>
      <c r="AL232" s="317">
        <f t="shared" si="379"/>
        <v>16</v>
      </c>
      <c r="AM232" s="147">
        <f t="shared" si="380"/>
        <v>192.6637037037037</v>
      </c>
      <c r="AO232">
        <f t="shared" si="381"/>
        <v>16</v>
      </c>
      <c r="AP232">
        <f t="shared" si="382"/>
        <v>192.6637037037037</v>
      </c>
      <c r="AR232" s="5">
        <f t="shared" si="343"/>
        <v>5.1903912401574805</v>
      </c>
      <c r="AS232" s="5">
        <f t="shared" si="335"/>
        <v>1.0714285714285714</v>
      </c>
      <c r="AT232" s="5">
        <f t="shared" si="336"/>
        <v>4.1189626687289094</v>
      </c>
      <c r="AU232" s="153">
        <f t="shared" si="337"/>
        <v>0.20642539682539682</v>
      </c>
      <c r="CI232" s="59">
        <f t="shared" si="383"/>
        <v>-50</v>
      </c>
    </row>
    <row r="233" spans="5:87" x14ac:dyDescent="0.25">
      <c r="E233" s="150">
        <v>17</v>
      </c>
      <c r="F233" s="191">
        <f t="shared" si="384"/>
        <v>1.7000000000000001E-2</v>
      </c>
      <c r="G233" s="191">
        <f t="shared" si="353"/>
        <v>1.7000000000000001E-2</v>
      </c>
      <c r="H233" s="191">
        <f t="shared" si="354"/>
        <v>0.34</v>
      </c>
      <c r="I233" s="191">
        <f t="shared" si="355"/>
        <v>0.27200000000000002</v>
      </c>
      <c r="J233" s="472">
        <f t="shared" si="356"/>
        <v>21</v>
      </c>
      <c r="K233" s="386">
        <f t="shared" si="357"/>
        <v>20.32</v>
      </c>
      <c r="L233" s="386">
        <f t="shared" si="358"/>
        <v>41.32</v>
      </c>
      <c r="M233" s="386"/>
      <c r="N233" s="191">
        <f t="shared" si="359"/>
        <v>0.49177153920619554</v>
      </c>
      <c r="O233" s="152">
        <f t="shared" si="360"/>
        <v>1.9363504356243948</v>
      </c>
      <c r="P233" s="152">
        <f t="shared" si="361"/>
        <v>2.7883446272991286</v>
      </c>
      <c r="Q233" s="191">
        <f t="shared" si="362"/>
        <v>9.6817521781219745E-2</v>
      </c>
      <c r="R233" s="191">
        <f t="shared" si="363"/>
        <v>0.12102190222652467</v>
      </c>
      <c r="S233" s="191">
        <f t="shared" si="364"/>
        <v>20</v>
      </c>
      <c r="T233" s="191">
        <f t="shared" si="365"/>
        <v>0.13169103862017248</v>
      </c>
      <c r="U233" s="191">
        <f t="shared" si="366"/>
        <v>0.94065027585837468</v>
      </c>
      <c r="V233" s="191">
        <f t="shared" si="367"/>
        <v>0.97212872997174549</v>
      </c>
      <c r="W233" s="175">
        <f t="shared" si="368"/>
        <v>350</v>
      </c>
      <c r="X233" s="386">
        <f t="shared" si="369"/>
        <v>350</v>
      </c>
      <c r="Z233" s="191">
        <f t="shared" si="370"/>
        <v>0.19670861568247827</v>
      </c>
      <c r="AA233" s="153">
        <f t="shared" si="371"/>
        <v>1.4520813165537272</v>
      </c>
      <c r="AB233" s="153">
        <f t="shared" si="372"/>
        <v>2.7770254714773877E-2</v>
      </c>
      <c r="AC233" s="153"/>
      <c r="AD233" s="153">
        <f t="shared" si="373"/>
        <v>1.1072834645669289</v>
      </c>
      <c r="AE233" s="317">
        <f t="shared" si="374"/>
        <v>204.70518518518523</v>
      </c>
      <c r="AF233" s="463">
        <f t="shared" si="375"/>
        <v>2.9066190944881887E-2</v>
      </c>
      <c r="AH233" s="153">
        <f t="shared" si="376"/>
        <v>0.15269016246728445</v>
      </c>
      <c r="AI233" s="153">
        <f t="shared" si="377"/>
        <v>0.15269016246728445</v>
      </c>
      <c r="AJ233" s="153">
        <f t="shared" si="378"/>
        <v>1.1169743915343915</v>
      </c>
      <c r="AL233" s="317">
        <f t="shared" si="379"/>
        <v>17</v>
      </c>
      <c r="AM233" s="147">
        <f t="shared" si="380"/>
        <v>204.70518518518523</v>
      </c>
      <c r="AO233">
        <f t="shared" si="381"/>
        <v>17</v>
      </c>
      <c r="AP233">
        <f t="shared" si="382"/>
        <v>204.70518518518523</v>
      </c>
      <c r="AR233" s="5">
        <f t="shared" si="343"/>
        <v>4.8850741083835105</v>
      </c>
      <c r="AS233" s="5">
        <f t="shared" si="335"/>
        <v>1.0906440176234604</v>
      </c>
      <c r="AT233" s="5">
        <f t="shared" si="336"/>
        <v>3.7944300907600503</v>
      </c>
      <c r="AU233" s="153">
        <f t="shared" si="337"/>
        <v>0.22326048559872486</v>
      </c>
      <c r="CI233" s="59">
        <f t="shared" si="383"/>
        <v>-50</v>
      </c>
    </row>
    <row r="234" spans="5:87" x14ac:dyDescent="0.25">
      <c r="E234" s="150">
        <v>18</v>
      </c>
      <c r="F234" s="191">
        <f t="shared" si="384"/>
        <v>1.7999999999999999E-2</v>
      </c>
      <c r="G234" s="191">
        <f t="shared" si="353"/>
        <v>1.7999999999999999E-2</v>
      </c>
      <c r="H234" s="191">
        <f t="shared" si="354"/>
        <v>0.36</v>
      </c>
      <c r="I234" s="191">
        <f t="shared" si="355"/>
        <v>0.28799999999999998</v>
      </c>
      <c r="J234" s="472">
        <f t="shared" si="356"/>
        <v>21</v>
      </c>
      <c r="K234" s="386">
        <f t="shared" si="357"/>
        <v>20.32</v>
      </c>
      <c r="L234" s="386">
        <f t="shared" si="358"/>
        <v>41.32</v>
      </c>
      <c r="M234" s="386"/>
      <c r="N234" s="191">
        <f t="shared" si="359"/>
        <v>0.49177153920619554</v>
      </c>
      <c r="O234" s="152">
        <f t="shared" si="360"/>
        <v>1.9363504356243948</v>
      </c>
      <c r="P234" s="152">
        <f t="shared" si="361"/>
        <v>2.7883446272991286</v>
      </c>
      <c r="Q234" s="191">
        <f t="shared" si="362"/>
        <v>9.6817521781219745E-2</v>
      </c>
      <c r="R234" s="191">
        <f t="shared" si="363"/>
        <v>0.12102190222652467</v>
      </c>
      <c r="S234" s="191">
        <f t="shared" si="364"/>
        <v>20</v>
      </c>
      <c r="T234" s="191">
        <f t="shared" si="365"/>
        <v>0.13943757030371201</v>
      </c>
      <c r="U234" s="191">
        <f t="shared" si="366"/>
        <v>0.99598264502651435</v>
      </c>
      <c r="V234" s="191">
        <f t="shared" si="367"/>
        <v>1.0293127729112599</v>
      </c>
      <c r="W234" s="175">
        <f t="shared" si="368"/>
        <v>350</v>
      </c>
      <c r="X234" s="386">
        <f t="shared" si="369"/>
        <v>350</v>
      </c>
      <c r="Z234" s="191">
        <f t="shared" si="370"/>
        <v>0.19670861568247827</v>
      </c>
      <c r="AA234" s="153">
        <f t="shared" si="371"/>
        <v>1.4520813165537272</v>
      </c>
      <c r="AB234" s="153">
        <f t="shared" si="372"/>
        <v>2.7770254714773877E-2</v>
      </c>
      <c r="AC234" s="153"/>
      <c r="AD234" s="153">
        <f t="shared" si="373"/>
        <v>1.1072834645669289</v>
      </c>
      <c r="AE234" s="317">
        <f t="shared" si="374"/>
        <v>216.74666666666667</v>
      </c>
      <c r="AF234" s="463">
        <f t="shared" si="375"/>
        <v>2.9066190944881887E-2</v>
      </c>
      <c r="AH234" s="153">
        <f t="shared" si="376"/>
        <v>0.15711688096991452</v>
      </c>
      <c r="AI234" s="153">
        <f t="shared" si="377"/>
        <v>0.15711688096991452</v>
      </c>
      <c r="AJ234" s="153">
        <f t="shared" si="378"/>
        <v>1.123855238095238</v>
      </c>
      <c r="AL234" s="317">
        <f t="shared" si="379"/>
        <v>18</v>
      </c>
      <c r="AM234" s="147">
        <f t="shared" si="380"/>
        <v>216.74666666666667</v>
      </c>
      <c r="AO234">
        <f t="shared" si="381"/>
        <v>18</v>
      </c>
      <c r="AP234">
        <f t="shared" si="382"/>
        <v>216.74666666666667</v>
      </c>
      <c r="AR234" s="5">
        <f t="shared" si="343"/>
        <v>4.6136811023622046</v>
      </c>
      <c r="AS234" s="5">
        <f t="shared" si="335"/>
        <v>1.1222634354993892</v>
      </c>
      <c r="AT234" s="5">
        <f t="shared" si="336"/>
        <v>3.4914176668628154</v>
      </c>
      <c r="AU234" s="153">
        <f t="shared" si="337"/>
        <v>0.24324685876637428</v>
      </c>
      <c r="CI234" s="59">
        <f t="shared" si="383"/>
        <v>-50</v>
      </c>
    </row>
    <row r="235" spans="5:87" x14ac:dyDescent="0.25">
      <c r="E235" s="150">
        <v>19</v>
      </c>
      <c r="F235" s="191">
        <f t="shared" si="384"/>
        <v>1.9000000000000003E-2</v>
      </c>
      <c r="G235" s="191">
        <f t="shared" si="353"/>
        <v>1.9000000000000003E-2</v>
      </c>
      <c r="H235" s="191">
        <f t="shared" si="354"/>
        <v>0.38000000000000006</v>
      </c>
      <c r="I235" s="191">
        <f t="shared" si="355"/>
        <v>0.30400000000000005</v>
      </c>
      <c r="J235" s="472">
        <f t="shared" si="356"/>
        <v>21</v>
      </c>
      <c r="K235" s="386">
        <f t="shared" si="357"/>
        <v>20.32</v>
      </c>
      <c r="L235" s="386">
        <f t="shared" si="358"/>
        <v>41.32</v>
      </c>
      <c r="M235" s="386"/>
      <c r="N235" s="191">
        <f t="shared" si="359"/>
        <v>0.49177153920619554</v>
      </c>
      <c r="O235" s="152">
        <f t="shared" si="360"/>
        <v>1.9363504356243948</v>
      </c>
      <c r="P235" s="152">
        <f t="shared" si="361"/>
        <v>2.7883446272991286</v>
      </c>
      <c r="Q235" s="191">
        <f t="shared" si="362"/>
        <v>9.6817521781219745E-2</v>
      </c>
      <c r="R235" s="191">
        <f t="shared" si="363"/>
        <v>0.12102190222652467</v>
      </c>
      <c r="S235" s="191">
        <f t="shared" si="364"/>
        <v>20</v>
      </c>
      <c r="T235" s="191">
        <f t="shared" si="365"/>
        <v>0.14718410198725163</v>
      </c>
      <c r="U235" s="191">
        <f t="shared" si="366"/>
        <v>1.0513150141946543</v>
      </c>
      <c r="V235" s="191">
        <f t="shared" si="367"/>
        <v>1.0864968158507746</v>
      </c>
      <c r="W235" s="175">
        <f t="shared" si="368"/>
        <v>350</v>
      </c>
      <c r="X235" s="386">
        <f t="shared" si="369"/>
        <v>350</v>
      </c>
      <c r="Z235" s="191">
        <f t="shared" si="370"/>
        <v>0.19670861568247827</v>
      </c>
      <c r="AA235" s="153">
        <f t="shared" si="371"/>
        <v>1.4520813165537272</v>
      </c>
      <c r="AB235" s="153">
        <f t="shared" si="372"/>
        <v>2.7770254714773877E-2</v>
      </c>
      <c r="AC235" s="153"/>
      <c r="AD235" s="153">
        <f t="shared" si="373"/>
        <v>1.1072834645669289</v>
      </c>
      <c r="AE235" s="317">
        <f t="shared" si="374"/>
        <v>228.7881481481482</v>
      </c>
      <c r="AF235" s="463">
        <f t="shared" si="375"/>
        <v>2.9066190944881887E-2</v>
      </c>
      <c r="AH235" s="153">
        <f t="shared" si="376"/>
        <v>0.16142225019229184</v>
      </c>
      <c r="AI235" s="153">
        <f t="shared" si="377"/>
        <v>0.16142225019229184</v>
      </c>
      <c r="AJ235" s="153">
        <f t="shared" si="378"/>
        <v>1.1307360846560848</v>
      </c>
      <c r="AL235" s="317">
        <f t="shared" si="379"/>
        <v>19.000000000000004</v>
      </c>
      <c r="AM235" s="147">
        <f t="shared" si="380"/>
        <v>228.7881481481482</v>
      </c>
      <c r="AO235">
        <f t="shared" si="381"/>
        <v>19.000000000000004</v>
      </c>
      <c r="AP235">
        <f t="shared" si="382"/>
        <v>228.7881481481482</v>
      </c>
      <c r="AR235" s="5">
        <f t="shared" si="343"/>
        <v>4.370855781185246</v>
      </c>
      <c r="AS235" s="5">
        <f t="shared" si="335"/>
        <v>1.1530160728020844</v>
      </c>
      <c r="AT235" s="5">
        <f t="shared" si="336"/>
        <v>3.2178397083831616</v>
      </c>
      <c r="AU235" s="153">
        <f t="shared" si="337"/>
        <v>0.26379641208143928</v>
      </c>
      <c r="CI235" s="59">
        <f t="shared" si="383"/>
        <v>-50</v>
      </c>
    </row>
    <row r="236" spans="5:87" x14ac:dyDescent="0.25">
      <c r="E236" s="150">
        <v>20</v>
      </c>
      <c r="F236" s="191">
        <f t="shared" si="384"/>
        <v>2.0000000000000004E-2</v>
      </c>
      <c r="G236" s="191">
        <f t="shared" si="353"/>
        <v>2.0000000000000004E-2</v>
      </c>
      <c r="H236" s="191">
        <f t="shared" si="354"/>
        <v>0.40000000000000008</v>
      </c>
      <c r="I236" s="191">
        <f t="shared" si="355"/>
        <v>0.32000000000000006</v>
      </c>
      <c r="J236" s="472">
        <f t="shared" si="356"/>
        <v>21</v>
      </c>
      <c r="K236" s="386">
        <f t="shared" si="357"/>
        <v>20.32</v>
      </c>
      <c r="L236" s="386">
        <f t="shared" si="358"/>
        <v>41.32</v>
      </c>
      <c r="M236" s="386"/>
      <c r="N236" s="191">
        <f t="shared" si="359"/>
        <v>0.49177153920619554</v>
      </c>
      <c r="O236" s="152">
        <f t="shared" si="360"/>
        <v>1.9363504356243948</v>
      </c>
      <c r="P236" s="152">
        <f t="shared" si="361"/>
        <v>2.7883446272991286</v>
      </c>
      <c r="Q236" s="191">
        <f t="shared" si="362"/>
        <v>9.6817521781219745E-2</v>
      </c>
      <c r="R236" s="191">
        <f t="shared" si="363"/>
        <v>0.12102190222652467</v>
      </c>
      <c r="S236" s="191">
        <f t="shared" si="364"/>
        <v>20</v>
      </c>
      <c r="T236" s="191">
        <f t="shared" si="365"/>
        <v>0.15493063367079118</v>
      </c>
      <c r="U236" s="191">
        <f t="shared" si="366"/>
        <v>1.1066473833627941</v>
      </c>
      <c r="V236" s="191">
        <f t="shared" si="367"/>
        <v>1.1436808587902891</v>
      </c>
      <c r="W236" s="175">
        <f t="shared" si="368"/>
        <v>350</v>
      </c>
      <c r="X236" s="386">
        <f t="shared" si="369"/>
        <v>350</v>
      </c>
      <c r="Z236" s="191">
        <f t="shared" si="370"/>
        <v>0.19670861568247827</v>
      </c>
      <c r="AA236" s="153">
        <f t="shared" si="371"/>
        <v>1.4520813165537272</v>
      </c>
      <c r="AB236" s="153">
        <f t="shared" si="372"/>
        <v>2.7770254714773877E-2</v>
      </c>
      <c r="AC236" s="153"/>
      <c r="AD236" s="153">
        <f t="shared" si="373"/>
        <v>1.1072834645669289</v>
      </c>
      <c r="AE236" s="317">
        <f t="shared" si="374"/>
        <v>240.82962962962969</v>
      </c>
      <c r="AF236" s="463">
        <f t="shared" si="375"/>
        <v>2.9066190944881887E-2</v>
      </c>
      <c r="AH236" s="153">
        <f t="shared" si="376"/>
        <v>0.16561573424216505</v>
      </c>
      <c r="AI236" s="153">
        <f t="shared" si="377"/>
        <v>0.16561573424216505</v>
      </c>
      <c r="AJ236" s="153">
        <f t="shared" si="378"/>
        <v>1.1376169312169313</v>
      </c>
      <c r="AL236" s="317">
        <f t="shared" si="379"/>
        <v>20.000000000000004</v>
      </c>
      <c r="AM236" s="147">
        <f t="shared" si="380"/>
        <v>240.82962962962969</v>
      </c>
      <c r="AO236">
        <f t="shared" si="381"/>
        <v>20.000000000000004</v>
      </c>
      <c r="AP236">
        <f t="shared" si="382"/>
        <v>240.82962962962969</v>
      </c>
      <c r="AR236" s="5">
        <f t="shared" si="343"/>
        <v>4.1523129921259834</v>
      </c>
      <c r="AS236" s="5">
        <f t="shared" si="335"/>
        <v>1.1829695303011789</v>
      </c>
      <c r="AT236" s="5">
        <f t="shared" si="336"/>
        <v>2.9693434618248045</v>
      </c>
      <c r="AU236" s="153">
        <f t="shared" si="337"/>
        <v>0.2848941138455699</v>
      </c>
      <c r="CI236" s="59">
        <f t="shared" si="383"/>
        <v>-50</v>
      </c>
    </row>
    <row r="237" spans="5:87" x14ac:dyDescent="0.25">
      <c r="E237" s="150">
        <v>21</v>
      </c>
      <c r="F237" s="191">
        <f t="shared" si="384"/>
        <v>2.1000000000000001E-2</v>
      </c>
      <c r="G237" s="191">
        <f t="shared" si="353"/>
        <v>2.1000000000000001E-2</v>
      </c>
      <c r="H237" s="191">
        <f t="shared" si="354"/>
        <v>0.42000000000000004</v>
      </c>
      <c r="I237" s="191">
        <f t="shared" si="355"/>
        <v>0.33600000000000002</v>
      </c>
      <c r="J237" s="472">
        <f t="shared" si="356"/>
        <v>21</v>
      </c>
      <c r="K237" s="386">
        <f t="shared" si="357"/>
        <v>20.32</v>
      </c>
      <c r="L237" s="386">
        <f t="shared" si="358"/>
        <v>41.32</v>
      </c>
      <c r="M237" s="386"/>
      <c r="N237" s="191">
        <f t="shared" si="359"/>
        <v>0.49177153920619554</v>
      </c>
      <c r="O237" s="152">
        <f t="shared" si="360"/>
        <v>1.9363504356243948</v>
      </c>
      <c r="P237" s="152">
        <f t="shared" si="361"/>
        <v>2.7883446272991286</v>
      </c>
      <c r="Q237" s="191">
        <f t="shared" si="362"/>
        <v>9.6817521781219745E-2</v>
      </c>
      <c r="R237" s="191">
        <f t="shared" si="363"/>
        <v>0.12102190222652467</v>
      </c>
      <c r="S237" s="191">
        <f t="shared" si="364"/>
        <v>20</v>
      </c>
      <c r="T237" s="191">
        <f t="shared" si="365"/>
        <v>0.16267716535433069</v>
      </c>
      <c r="U237" s="191">
        <f t="shared" si="366"/>
        <v>1.1619797525309334</v>
      </c>
      <c r="V237" s="191">
        <f t="shared" si="367"/>
        <v>1.2008649017298032</v>
      </c>
      <c r="W237" s="175">
        <f t="shared" si="368"/>
        <v>350</v>
      </c>
      <c r="X237" s="386">
        <f t="shared" si="369"/>
        <v>350</v>
      </c>
      <c r="Z237" s="191">
        <f t="shared" si="370"/>
        <v>0.19670861568247827</v>
      </c>
      <c r="AA237" s="153">
        <f t="shared" si="371"/>
        <v>1.4520813165537272</v>
      </c>
      <c r="AB237" s="153">
        <f t="shared" si="372"/>
        <v>2.7770254714773877E-2</v>
      </c>
      <c r="AC237" s="153"/>
      <c r="AD237" s="153">
        <f t="shared" si="373"/>
        <v>1.1072834645669289</v>
      </c>
      <c r="AE237" s="317">
        <f t="shared" si="374"/>
        <v>252.87111111111116</v>
      </c>
      <c r="AF237" s="463">
        <f t="shared" si="375"/>
        <v>2.9066190944881887E-2</v>
      </c>
      <c r="AH237" s="153">
        <f t="shared" si="376"/>
        <v>0.16970562748477142</v>
      </c>
      <c r="AI237" s="153">
        <f t="shared" si="377"/>
        <v>0.16970562748477142</v>
      </c>
      <c r="AJ237" s="153">
        <f t="shared" si="378"/>
        <v>1.1444977777777778</v>
      </c>
      <c r="AL237" s="317">
        <f t="shared" si="379"/>
        <v>21</v>
      </c>
      <c r="AM237" s="147">
        <f t="shared" si="380"/>
        <v>252.87111111111116</v>
      </c>
      <c r="AO237">
        <f t="shared" si="381"/>
        <v>21</v>
      </c>
      <c r="AP237">
        <f t="shared" si="382"/>
        <v>252.87111111111116</v>
      </c>
      <c r="AR237" s="5">
        <f t="shared" si="343"/>
        <v>3.9545838020247461</v>
      </c>
      <c r="AS237" s="5">
        <f t="shared" si="335"/>
        <v>1.2121830534626528</v>
      </c>
      <c r="AT237" s="5">
        <f t="shared" si="336"/>
        <v>2.7424007485620931</v>
      </c>
      <c r="AU237" s="153">
        <f t="shared" si="337"/>
        <v>0.30652607559916045</v>
      </c>
      <c r="CI237" s="59">
        <f t="shared" si="383"/>
        <v>-50</v>
      </c>
    </row>
    <row r="238" spans="5:87" x14ac:dyDescent="0.25">
      <c r="E238" s="150">
        <v>22</v>
      </c>
      <c r="F238" s="191">
        <f t="shared" si="384"/>
        <v>2.2000000000000002E-2</v>
      </c>
      <c r="G238" s="191">
        <f t="shared" si="353"/>
        <v>2.2000000000000002E-2</v>
      </c>
      <c r="H238" s="191">
        <f t="shared" si="354"/>
        <v>0.44000000000000006</v>
      </c>
      <c r="I238" s="191">
        <f t="shared" si="355"/>
        <v>0.35200000000000004</v>
      </c>
      <c r="J238" s="472">
        <f t="shared" si="356"/>
        <v>21</v>
      </c>
      <c r="K238" s="386">
        <f t="shared" si="357"/>
        <v>20.32</v>
      </c>
      <c r="L238" s="386">
        <f t="shared" si="358"/>
        <v>41.32</v>
      </c>
      <c r="M238" s="386"/>
      <c r="N238" s="191">
        <f t="shared" si="359"/>
        <v>0.49177153920619554</v>
      </c>
      <c r="O238" s="152">
        <f t="shared" si="360"/>
        <v>1.9363504356243948</v>
      </c>
      <c r="P238" s="152">
        <f t="shared" si="361"/>
        <v>2.7883446272991286</v>
      </c>
      <c r="Q238" s="191">
        <f t="shared" si="362"/>
        <v>9.6817521781219745E-2</v>
      </c>
      <c r="R238" s="191">
        <f t="shared" si="363"/>
        <v>0.12102190222652467</v>
      </c>
      <c r="S238" s="191">
        <f t="shared" si="364"/>
        <v>20</v>
      </c>
      <c r="T238" s="191">
        <f t="shared" si="365"/>
        <v>0.17042369703787028</v>
      </c>
      <c r="U238" s="191">
        <f t="shared" si="366"/>
        <v>1.2173121216990732</v>
      </c>
      <c r="V238" s="191">
        <f t="shared" si="367"/>
        <v>1.2580489446693179</v>
      </c>
      <c r="W238" s="175">
        <f t="shared" si="368"/>
        <v>350</v>
      </c>
      <c r="X238" s="386">
        <f t="shared" si="369"/>
        <v>350</v>
      </c>
      <c r="Z238" s="191">
        <f t="shared" si="370"/>
        <v>0.19670861568247827</v>
      </c>
      <c r="AA238" s="153">
        <f t="shared" si="371"/>
        <v>1.4520813165537272</v>
      </c>
      <c r="AB238" s="153">
        <f t="shared" si="372"/>
        <v>2.7770254714773877E-2</v>
      </c>
      <c r="AC238" s="153"/>
      <c r="AD238" s="153">
        <f t="shared" si="373"/>
        <v>1.1072834645669289</v>
      </c>
      <c r="AE238" s="317">
        <f t="shared" si="374"/>
        <v>264.91259259259266</v>
      </c>
      <c r="AF238" s="463">
        <f t="shared" si="375"/>
        <v>2.9066190944881887E-2</v>
      </c>
      <c r="AH238" s="153">
        <f t="shared" si="376"/>
        <v>0.17369924746937904</v>
      </c>
      <c r="AI238" s="153">
        <f t="shared" si="377"/>
        <v>0.17369924746937904</v>
      </c>
      <c r="AJ238" s="153">
        <f t="shared" si="378"/>
        <v>1.1513786243386244</v>
      </c>
      <c r="AL238" s="317">
        <f t="shared" si="379"/>
        <v>22.000000000000004</v>
      </c>
      <c r="AM238" s="147">
        <f t="shared" si="380"/>
        <v>264.91259259259266</v>
      </c>
      <c r="AO238">
        <f t="shared" si="381"/>
        <v>22.000000000000004</v>
      </c>
      <c r="AP238">
        <f t="shared" si="382"/>
        <v>264.91259259259266</v>
      </c>
      <c r="AR238" s="5">
        <f t="shared" si="343"/>
        <v>3.774829992841803</v>
      </c>
      <c r="AS238" s="5">
        <f t="shared" si="335"/>
        <v>1.2407089104955644</v>
      </c>
      <c r="AT238" s="5">
        <f t="shared" si="336"/>
        <v>2.5341210823462386</v>
      </c>
      <c r="AU238" s="153">
        <f t="shared" si="337"/>
        <v>0.32867941413211094</v>
      </c>
      <c r="CI238" s="59">
        <f t="shared" si="383"/>
        <v>-50</v>
      </c>
    </row>
    <row r="239" spans="5:87" x14ac:dyDescent="0.25">
      <c r="E239" s="150">
        <v>23</v>
      </c>
      <c r="F239" s="191">
        <f t="shared" si="384"/>
        <v>2.3000000000000003E-2</v>
      </c>
      <c r="G239" s="191">
        <f t="shared" si="353"/>
        <v>2.3000000000000003E-2</v>
      </c>
      <c r="H239" s="191">
        <f t="shared" si="354"/>
        <v>0.46000000000000008</v>
      </c>
      <c r="I239" s="191">
        <f t="shared" si="355"/>
        <v>0.36800000000000005</v>
      </c>
      <c r="J239" s="472">
        <f t="shared" si="356"/>
        <v>21</v>
      </c>
      <c r="K239" s="386">
        <f t="shared" si="357"/>
        <v>20.32</v>
      </c>
      <c r="L239" s="386">
        <f t="shared" si="358"/>
        <v>41.32</v>
      </c>
      <c r="M239" s="386"/>
      <c r="N239" s="191">
        <f t="shared" si="359"/>
        <v>0.49177153920619554</v>
      </c>
      <c r="O239" s="152">
        <f t="shared" si="360"/>
        <v>1.9363504356243948</v>
      </c>
      <c r="P239" s="152">
        <f t="shared" si="361"/>
        <v>2.7883446272991286</v>
      </c>
      <c r="Q239" s="191">
        <f t="shared" si="362"/>
        <v>9.6817521781219745E-2</v>
      </c>
      <c r="R239" s="191">
        <f t="shared" si="363"/>
        <v>0.12102190222652467</v>
      </c>
      <c r="S239" s="191">
        <f t="shared" si="364"/>
        <v>20</v>
      </c>
      <c r="T239" s="191">
        <f t="shared" si="365"/>
        <v>0.17817022872140983</v>
      </c>
      <c r="U239" s="191">
        <f t="shared" si="366"/>
        <v>1.272644490867213</v>
      </c>
      <c r="V239" s="191">
        <f t="shared" si="367"/>
        <v>1.3152329876088322</v>
      </c>
      <c r="W239" s="175">
        <f t="shared" si="368"/>
        <v>350</v>
      </c>
      <c r="X239" s="386">
        <f t="shared" si="369"/>
        <v>350</v>
      </c>
      <c r="Z239" s="191">
        <f t="shared" si="370"/>
        <v>0.19670861568247827</v>
      </c>
      <c r="AA239" s="153">
        <f t="shared" si="371"/>
        <v>1.4520813165537272</v>
      </c>
      <c r="AB239" s="153">
        <f t="shared" si="372"/>
        <v>2.7770254714773877E-2</v>
      </c>
      <c r="AC239" s="153"/>
      <c r="AD239" s="153">
        <f t="shared" si="373"/>
        <v>1.1072834645669289</v>
      </c>
      <c r="AE239" s="317">
        <f t="shared" si="374"/>
        <v>276.95407407407419</v>
      </c>
      <c r="AF239" s="463">
        <f t="shared" si="375"/>
        <v>2.9066190944881887E-2</v>
      </c>
      <c r="AH239" s="153">
        <f t="shared" si="376"/>
        <v>0.17760308877622921</v>
      </c>
      <c r="AI239" s="153">
        <f t="shared" si="377"/>
        <v>0.17760308877622921</v>
      </c>
      <c r="AJ239" s="153">
        <f t="shared" si="378"/>
        <v>1.1582594708994709</v>
      </c>
      <c r="AL239" s="317">
        <f t="shared" si="379"/>
        <v>23.000000000000004</v>
      </c>
      <c r="AM239" s="147">
        <f t="shared" si="380"/>
        <v>276.95407407407419</v>
      </c>
      <c r="AO239">
        <f t="shared" si="381"/>
        <v>23.000000000000004</v>
      </c>
      <c r="AP239">
        <f t="shared" si="382"/>
        <v>276.95407407407419</v>
      </c>
      <c r="AR239" s="5">
        <f t="shared" si="343"/>
        <v>3.6107069496747677</v>
      </c>
      <c r="AS239" s="5">
        <f t="shared" si="335"/>
        <v>1.26859349125878</v>
      </c>
      <c r="AT239" s="5">
        <f t="shared" si="336"/>
        <v>2.3421134584159877</v>
      </c>
      <c r="AU239" s="153">
        <f t="shared" si="337"/>
        <v>0.35134213574797252</v>
      </c>
      <c r="CI239" s="59">
        <f t="shared" si="383"/>
        <v>-50</v>
      </c>
    </row>
    <row r="240" spans="5:87" x14ac:dyDescent="0.25">
      <c r="E240" s="150">
        <v>24</v>
      </c>
      <c r="F240" s="191">
        <f t="shared" si="384"/>
        <v>2.4E-2</v>
      </c>
      <c r="G240" s="191">
        <f t="shared" si="353"/>
        <v>2.4E-2</v>
      </c>
      <c r="H240" s="191">
        <f t="shared" si="354"/>
        <v>0.48</v>
      </c>
      <c r="I240" s="191">
        <f t="shared" si="355"/>
        <v>0.38400000000000001</v>
      </c>
      <c r="J240" s="472">
        <f t="shared" si="356"/>
        <v>21</v>
      </c>
      <c r="K240" s="386">
        <f t="shared" si="357"/>
        <v>20.32</v>
      </c>
      <c r="L240" s="386">
        <f t="shared" si="358"/>
        <v>41.32</v>
      </c>
      <c r="M240" s="386"/>
      <c r="N240" s="191">
        <f t="shared" si="359"/>
        <v>0.49177153920619554</v>
      </c>
      <c r="O240" s="152">
        <f t="shared" si="360"/>
        <v>1.9363504356243948</v>
      </c>
      <c r="P240" s="152">
        <f t="shared" si="361"/>
        <v>2.7883446272991286</v>
      </c>
      <c r="Q240" s="191">
        <f t="shared" si="362"/>
        <v>9.6817521781219745E-2</v>
      </c>
      <c r="R240" s="191">
        <f t="shared" si="363"/>
        <v>0.12102190222652467</v>
      </c>
      <c r="S240" s="191">
        <f t="shared" si="364"/>
        <v>20</v>
      </c>
      <c r="T240" s="191">
        <f t="shared" si="365"/>
        <v>0.18591676040494937</v>
      </c>
      <c r="U240" s="191">
        <f t="shared" si="366"/>
        <v>1.3279768600353523</v>
      </c>
      <c r="V240" s="191">
        <f t="shared" si="367"/>
        <v>1.3724170305483465</v>
      </c>
      <c r="W240" s="175">
        <f t="shared" si="368"/>
        <v>350</v>
      </c>
      <c r="X240" s="386">
        <f t="shared" si="369"/>
        <v>350</v>
      </c>
      <c r="Z240" s="191">
        <f t="shared" si="370"/>
        <v>0.19670861568247827</v>
      </c>
      <c r="AA240" s="153">
        <f t="shared" si="371"/>
        <v>1.4520813165537272</v>
      </c>
      <c r="AB240" s="153">
        <f t="shared" si="372"/>
        <v>2.7770254714773877E-2</v>
      </c>
      <c r="AC240" s="153"/>
      <c r="AD240" s="153">
        <f t="shared" si="373"/>
        <v>1.1072834645669289</v>
      </c>
      <c r="AE240" s="317">
        <f t="shared" si="374"/>
        <v>288.99555555555554</v>
      </c>
      <c r="AF240" s="463">
        <f t="shared" si="375"/>
        <v>2.9066190944881887E-2</v>
      </c>
      <c r="AH240" s="153">
        <f t="shared" si="376"/>
        <v>0.18142294704442907</v>
      </c>
      <c r="AI240" s="153">
        <f t="shared" si="377"/>
        <v>0.18142294704442907</v>
      </c>
      <c r="AJ240" s="153">
        <f t="shared" si="378"/>
        <v>1.1651403174603174</v>
      </c>
      <c r="AL240" s="317">
        <f t="shared" si="379"/>
        <v>24</v>
      </c>
      <c r="AM240" s="147">
        <f t="shared" si="380"/>
        <v>288.99555555555554</v>
      </c>
      <c r="AO240">
        <f t="shared" si="381"/>
        <v>24</v>
      </c>
      <c r="AP240">
        <f t="shared" si="382"/>
        <v>288.99555555555554</v>
      </c>
      <c r="AR240" s="5">
        <f t="shared" si="343"/>
        <v>3.4602608267716537</v>
      </c>
      <c r="AS240" s="5">
        <f t="shared" si="335"/>
        <v>1.2958781931744932</v>
      </c>
      <c r="AT240" s="5">
        <f t="shared" si="336"/>
        <v>2.1643826335971603</v>
      </c>
      <c r="AU240" s="153">
        <f t="shared" si="337"/>
        <v>0.37450303836879217</v>
      </c>
      <c r="CI240" s="59">
        <f t="shared" si="383"/>
        <v>-50</v>
      </c>
    </row>
    <row r="241" spans="5:87" x14ac:dyDescent="0.25">
      <c r="E241" s="150">
        <v>25</v>
      </c>
      <c r="F241" s="191">
        <f t="shared" si="384"/>
        <v>2.5000000000000001E-2</v>
      </c>
      <c r="G241" s="191">
        <f t="shared" si="353"/>
        <v>2.5000000000000001E-2</v>
      </c>
      <c r="H241" s="191">
        <f t="shared" si="354"/>
        <v>0.5</v>
      </c>
      <c r="I241" s="191">
        <f t="shared" si="355"/>
        <v>0.4</v>
      </c>
      <c r="J241" s="472">
        <f t="shared" si="356"/>
        <v>21</v>
      </c>
      <c r="K241" s="386">
        <f t="shared" si="357"/>
        <v>20.32</v>
      </c>
      <c r="L241" s="386">
        <f t="shared" si="358"/>
        <v>41.32</v>
      </c>
      <c r="M241" s="386"/>
      <c r="N241" s="191">
        <f t="shared" si="359"/>
        <v>0.49177153920619554</v>
      </c>
      <c r="O241" s="152">
        <f t="shared" si="360"/>
        <v>1.9363504356243948</v>
      </c>
      <c r="P241" s="152">
        <f t="shared" si="361"/>
        <v>2.7883446272991286</v>
      </c>
      <c r="Q241" s="191">
        <f t="shared" si="362"/>
        <v>9.6817521781219745E-2</v>
      </c>
      <c r="R241" s="191">
        <f t="shared" si="363"/>
        <v>0.12102190222652467</v>
      </c>
      <c r="S241" s="191">
        <f t="shared" si="364"/>
        <v>20</v>
      </c>
      <c r="T241" s="191">
        <f t="shared" si="365"/>
        <v>0.19366329208848893</v>
      </c>
      <c r="U241" s="191">
        <f t="shared" si="366"/>
        <v>1.3833092292034921</v>
      </c>
      <c r="V241" s="191">
        <f t="shared" si="367"/>
        <v>1.429601073487861</v>
      </c>
      <c r="W241" s="175">
        <f t="shared" si="368"/>
        <v>350</v>
      </c>
      <c r="X241" s="386">
        <f t="shared" si="369"/>
        <v>350</v>
      </c>
      <c r="Z241" s="191">
        <f t="shared" si="370"/>
        <v>0.19670861568247827</v>
      </c>
      <c r="AA241" s="153">
        <f t="shared" si="371"/>
        <v>1.4520813165537272</v>
      </c>
      <c r="AB241" s="153">
        <f t="shared" si="372"/>
        <v>2.7770254714773877E-2</v>
      </c>
      <c r="AC241" s="153"/>
      <c r="AD241" s="153">
        <f t="shared" si="373"/>
        <v>1.1072834645669289</v>
      </c>
      <c r="AE241" s="317">
        <f t="shared" si="374"/>
        <v>301.03703703703707</v>
      </c>
      <c r="AF241" s="463">
        <f t="shared" si="375"/>
        <v>2.9066190944881887E-2</v>
      </c>
      <c r="AH241" s="153">
        <f t="shared" si="376"/>
        <v>0.18516401995451032</v>
      </c>
      <c r="AI241" s="153">
        <f t="shared" si="377"/>
        <v>0.18516401995451032</v>
      </c>
      <c r="AJ241" s="153">
        <f t="shared" si="378"/>
        <v>1.172021164021164</v>
      </c>
      <c r="AL241" s="317">
        <f t="shared" si="379"/>
        <v>25</v>
      </c>
      <c r="AM241" s="147">
        <f t="shared" si="380"/>
        <v>301.03703703703707</v>
      </c>
      <c r="AO241">
        <f t="shared" si="381"/>
        <v>25</v>
      </c>
      <c r="AP241">
        <f t="shared" si="382"/>
        <v>301.03703703703707</v>
      </c>
      <c r="AR241" s="5">
        <f t="shared" si="343"/>
        <v>3.3218503937007871</v>
      </c>
      <c r="AS241" s="5">
        <f t="shared" si="335"/>
        <v>1.3226001425322162</v>
      </c>
      <c r="AT241" s="5">
        <f t="shared" si="336"/>
        <v>1.9992502511685708</v>
      </c>
      <c r="AU241" s="153">
        <f t="shared" si="337"/>
        <v>0.3981516280926613</v>
      </c>
      <c r="CI241" s="59">
        <f t="shared" si="383"/>
        <v>-50</v>
      </c>
    </row>
    <row r="242" spans="5:87" x14ac:dyDescent="0.25">
      <c r="E242" s="150">
        <v>26</v>
      </c>
      <c r="F242" s="191">
        <f t="shared" si="384"/>
        <v>2.6000000000000002E-2</v>
      </c>
      <c r="G242" s="191">
        <f t="shared" si="353"/>
        <v>2.6000000000000002E-2</v>
      </c>
      <c r="H242" s="191">
        <f t="shared" si="354"/>
        <v>0.52</v>
      </c>
      <c r="I242" s="191">
        <f t="shared" si="355"/>
        <v>0.41600000000000004</v>
      </c>
      <c r="J242" s="472">
        <f t="shared" si="356"/>
        <v>21</v>
      </c>
      <c r="K242" s="386">
        <f t="shared" si="357"/>
        <v>20.32</v>
      </c>
      <c r="L242" s="386">
        <f t="shared" si="358"/>
        <v>41.32</v>
      </c>
      <c r="M242" s="386"/>
      <c r="N242" s="191">
        <f t="shared" si="359"/>
        <v>0.49177153920619554</v>
      </c>
      <c r="O242" s="152">
        <f t="shared" si="360"/>
        <v>1.9363504356243948</v>
      </c>
      <c r="P242" s="152">
        <f t="shared" si="361"/>
        <v>2.7883446272991286</v>
      </c>
      <c r="Q242" s="191">
        <f t="shared" si="362"/>
        <v>9.6817521781219745E-2</v>
      </c>
      <c r="R242" s="191">
        <f t="shared" si="363"/>
        <v>0.12102190222652467</v>
      </c>
      <c r="S242" s="191">
        <f t="shared" si="364"/>
        <v>20</v>
      </c>
      <c r="T242" s="191">
        <f t="shared" si="365"/>
        <v>0.20140982377202848</v>
      </c>
      <c r="U242" s="191">
        <f t="shared" si="366"/>
        <v>1.4386415983716319</v>
      </c>
      <c r="V242" s="191">
        <f t="shared" si="367"/>
        <v>1.4867851164273755</v>
      </c>
      <c r="W242" s="175">
        <f t="shared" si="368"/>
        <v>350</v>
      </c>
      <c r="X242" s="386">
        <f t="shared" si="369"/>
        <v>341.83047380447039</v>
      </c>
      <c r="Z242" s="191">
        <f t="shared" si="370"/>
        <v>0.19670861568247827</v>
      </c>
      <c r="AA242" s="153">
        <f t="shared" si="371"/>
        <v>1.4520813165537272</v>
      </c>
      <c r="AB242" s="153">
        <f t="shared" si="372"/>
        <v>2.7770254714773877E-2</v>
      </c>
      <c r="AC242" s="153"/>
      <c r="AD242" s="153">
        <f t="shared" si="373"/>
        <v>1.1072834645669289</v>
      </c>
      <c r="AE242" s="317">
        <f t="shared" si="374"/>
        <v>313.07851851851854</v>
      </c>
      <c r="AF242" s="463">
        <f t="shared" si="375"/>
        <v>2.9066190944881887E-2</v>
      </c>
      <c r="AH242" s="153">
        <f t="shared" si="376"/>
        <v>0.18883099019266639</v>
      </c>
      <c r="AI242" s="153">
        <f t="shared" si="377"/>
        <v>0.18883099019266639</v>
      </c>
      <c r="AJ242" s="153">
        <f t="shared" si="378"/>
        <v>1.1789020105820107</v>
      </c>
      <c r="AL242" s="317">
        <f t="shared" si="379"/>
        <v>26.000000000000004</v>
      </c>
      <c r="AM242" s="147">
        <f t="shared" si="380"/>
        <v>313.07851851851854</v>
      </c>
      <c r="AO242">
        <f t="shared" si="381"/>
        <v>26.000000000000004</v>
      </c>
      <c r="AP242">
        <f t="shared" si="382"/>
        <v>313.07851851851854</v>
      </c>
      <c r="AR242" s="5">
        <f t="shared" si="343"/>
        <v>3.1940869170199879</v>
      </c>
      <c r="AS242" s="5">
        <f t="shared" si="335"/>
        <v>1.3487927870904741</v>
      </c>
      <c r="AT242" s="5">
        <f t="shared" si="336"/>
        <v>1.8452941299295138</v>
      </c>
      <c r="AU242" s="153">
        <f t="shared" si="337"/>
        <v>0.42227804757074922</v>
      </c>
      <c r="CI242" s="59">
        <f t="shared" si="383"/>
        <v>-50</v>
      </c>
    </row>
    <row r="243" spans="5:87" x14ac:dyDescent="0.25">
      <c r="E243" s="150">
        <v>27</v>
      </c>
      <c r="F243" s="191">
        <f t="shared" si="384"/>
        <v>2.7000000000000003E-2</v>
      </c>
      <c r="G243" s="191">
        <f t="shared" si="353"/>
        <v>2.7000000000000003E-2</v>
      </c>
      <c r="H243" s="191">
        <f t="shared" si="354"/>
        <v>0.54</v>
      </c>
      <c r="I243" s="191">
        <f t="shared" si="355"/>
        <v>0.43200000000000005</v>
      </c>
      <c r="J243" s="472">
        <f t="shared" si="356"/>
        <v>21</v>
      </c>
      <c r="K243" s="386">
        <f t="shared" si="357"/>
        <v>20.32</v>
      </c>
      <c r="L243" s="386">
        <f t="shared" si="358"/>
        <v>41.32</v>
      </c>
      <c r="M243" s="386"/>
      <c r="N243" s="191">
        <f t="shared" si="359"/>
        <v>0.49177153920619554</v>
      </c>
      <c r="O243" s="152">
        <f t="shared" si="360"/>
        <v>1.9363504356243948</v>
      </c>
      <c r="P243" s="152">
        <f t="shared" si="361"/>
        <v>2.7883446272991286</v>
      </c>
      <c r="Q243" s="191">
        <f t="shared" si="362"/>
        <v>9.6817521781219745E-2</v>
      </c>
      <c r="R243" s="191">
        <f t="shared" si="363"/>
        <v>0.12102190222652467</v>
      </c>
      <c r="S243" s="191">
        <f t="shared" si="364"/>
        <v>20</v>
      </c>
      <c r="T243" s="191">
        <f t="shared" si="365"/>
        <v>0.20915635545556807</v>
      </c>
      <c r="U243" s="191">
        <f t="shared" si="366"/>
        <v>1.4939739675397719</v>
      </c>
      <c r="V243" s="191">
        <f t="shared" si="367"/>
        <v>1.5439691593668903</v>
      </c>
      <c r="W243" s="175">
        <f t="shared" si="368"/>
        <v>350</v>
      </c>
      <c r="X243" s="386">
        <f t="shared" si="369"/>
        <v>329.17008588578625</v>
      </c>
      <c r="Z243" s="191">
        <f t="shared" si="370"/>
        <v>0.19670861568247827</v>
      </c>
      <c r="AA243" s="153">
        <f t="shared" si="371"/>
        <v>1.4520813165537272</v>
      </c>
      <c r="AB243" s="153">
        <f t="shared" si="372"/>
        <v>2.7770254714773877E-2</v>
      </c>
      <c r="AC243" s="153"/>
      <c r="AD243" s="153">
        <f t="shared" si="373"/>
        <v>1.1072834645669289</v>
      </c>
      <c r="AE243" s="317">
        <f t="shared" si="374"/>
        <v>325.12000000000006</v>
      </c>
      <c r="AF243" s="463">
        <f t="shared" si="375"/>
        <v>2.9066190944881887E-2</v>
      </c>
      <c r="AH243" s="153">
        <f t="shared" si="376"/>
        <v>0.19242809417694559</v>
      </c>
      <c r="AI243" s="153">
        <f t="shared" si="377"/>
        <v>0.19242809417694559</v>
      </c>
      <c r="AJ243" s="153">
        <f t="shared" si="378"/>
        <v>1.1857828571428572</v>
      </c>
      <c r="AL243" s="317">
        <f t="shared" si="379"/>
        <v>27.000000000000004</v>
      </c>
      <c r="AM243" s="147">
        <f t="shared" si="380"/>
        <v>325.12000000000006</v>
      </c>
      <c r="AO243">
        <f t="shared" si="381"/>
        <v>27.000000000000004</v>
      </c>
      <c r="AP243">
        <f t="shared" si="382"/>
        <v>325.12000000000006</v>
      </c>
      <c r="AR243" s="5">
        <f t="shared" si="343"/>
        <v>3.0757874015748023</v>
      </c>
      <c r="AS243" s="5">
        <f t="shared" ref="AS243:AS306" si="385">L*AI243/J243*1000000</f>
        <v>1.3744863869781825</v>
      </c>
      <c r="AT243" s="5">
        <f t="shared" ref="AT243:AT306" si="386">AR243-AS243</f>
        <v>1.7013010145966199</v>
      </c>
      <c r="AU243" s="153">
        <f t="shared" ref="AU243:AU306" si="387">AS243/AR243</f>
        <v>0.44687301413434682</v>
      </c>
      <c r="CI243" s="59">
        <f t="shared" si="383"/>
        <v>-50</v>
      </c>
    </row>
    <row r="244" spans="5:87" x14ac:dyDescent="0.25">
      <c r="E244" s="150">
        <v>28</v>
      </c>
      <c r="F244" s="191">
        <f t="shared" si="384"/>
        <v>2.8000000000000004E-2</v>
      </c>
      <c r="G244" s="191">
        <f t="shared" si="353"/>
        <v>2.8000000000000004E-2</v>
      </c>
      <c r="H244" s="191">
        <f t="shared" si="354"/>
        <v>0.56000000000000005</v>
      </c>
      <c r="I244" s="191">
        <f t="shared" si="355"/>
        <v>0.44800000000000006</v>
      </c>
      <c r="J244" s="472">
        <f t="shared" si="356"/>
        <v>21</v>
      </c>
      <c r="K244" s="386">
        <f t="shared" si="357"/>
        <v>20.32</v>
      </c>
      <c r="L244" s="386">
        <f t="shared" si="358"/>
        <v>41.32</v>
      </c>
      <c r="M244" s="386"/>
      <c r="N244" s="191">
        <f t="shared" si="359"/>
        <v>0.49177153920619554</v>
      </c>
      <c r="O244" s="152">
        <f t="shared" si="360"/>
        <v>1.9363504356243948</v>
      </c>
      <c r="P244" s="152">
        <f t="shared" si="361"/>
        <v>2.7883446272991286</v>
      </c>
      <c r="Q244" s="191">
        <f t="shared" si="362"/>
        <v>9.6817521781219745E-2</v>
      </c>
      <c r="R244" s="191">
        <f t="shared" si="363"/>
        <v>0.12102190222652467</v>
      </c>
      <c r="S244" s="191">
        <f t="shared" si="364"/>
        <v>20</v>
      </c>
      <c r="T244" s="191">
        <f t="shared" si="365"/>
        <v>0.2169028871391076</v>
      </c>
      <c r="U244" s="191">
        <f t="shared" si="366"/>
        <v>1.5493063367079112</v>
      </c>
      <c r="V244" s="191">
        <f t="shared" si="367"/>
        <v>1.6011532023064043</v>
      </c>
      <c r="W244" s="175">
        <f t="shared" si="368"/>
        <v>350</v>
      </c>
      <c r="X244" s="386">
        <f t="shared" si="369"/>
        <v>317.41401138986538</v>
      </c>
      <c r="Z244" s="191">
        <f t="shared" si="370"/>
        <v>0.19670861568247827</v>
      </c>
      <c r="AA244" s="153">
        <f t="shared" si="371"/>
        <v>1.4520813165537272</v>
      </c>
      <c r="AB244" s="153">
        <f t="shared" si="372"/>
        <v>2.7770254714773877E-2</v>
      </c>
      <c r="AC244" s="153"/>
      <c r="AD244" s="153">
        <f t="shared" si="373"/>
        <v>1.1072834645669289</v>
      </c>
      <c r="AE244" s="317">
        <f t="shared" si="374"/>
        <v>337.16148148148159</v>
      </c>
      <c r="AF244" s="463">
        <f t="shared" si="375"/>
        <v>2.9066190944881887E-2</v>
      </c>
      <c r="AH244" s="153">
        <f t="shared" si="376"/>
        <v>0.19595917942265426</v>
      </c>
      <c r="AI244" s="153">
        <f t="shared" si="377"/>
        <v>0.2169028871391076</v>
      </c>
      <c r="AJ244" s="153">
        <f t="shared" si="378"/>
        <v>1.1926637037037038</v>
      </c>
      <c r="AL244" s="317">
        <f t="shared" si="379"/>
        <v>28.000000000000004</v>
      </c>
      <c r="AM244" s="147">
        <f t="shared" si="380"/>
        <v>337.16148148148159</v>
      </c>
      <c r="AO244">
        <f t="shared" si="381"/>
        <v>28.000000000000004</v>
      </c>
      <c r="AP244">
        <f t="shared" si="382"/>
        <v>337.16148148148159</v>
      </c>
      <c r="AR244" s="5">
        <f t="shared" si="343"/>
        <v>2.9659378515185595</v>
      </c>
      <c r="AS244" s="5">
        <f t="shared" si="385"/>
        <v>1.5493063367079112</v>
      </c>
      <c r="AT244" s="5">
        <f t="shared" si="386"/>
        <v>1.4166315148106483</v>
      </c>
      <c r="AU244" s="153">
        <f t="shared" si="387"/>
        <v>0.5223664197530864</v>
      </c>
      <c r="CI244" s="59">
        <f t="shared" si="383"/>
        <v>-50</v>
      </c>
    </row>
    <row r="245" spans="5:87" x14ac:dyDescent="0.25">
      <c r="E245" s="150">
        <v>29</v>
      </c>
      <c r="F245" s="191">
        <f t="shared" si="384"/>
        <v>2.8999999999999998E-2</v>
      </c>
      <c r="G245" s="191">
        <f t="shared" si="353"/>
        <v>2.8999999999999998E-2</v>
      </c>
      <c r="H245" s="191">
        <f t="shared" si="354"/>
        <v>0.57999999999999996</v>
      </c>
      <c r="I245" s="191">
        <f t="shared" si="355"/>
        <v>0.46399999999999997</v>
      </c>
      <c r="J245" s="472">
        <f t="shared" si="356"/>
        <v>21</v>
      </c>
      <c r="K245" s="386">
        <f t="shared" si="357"/>
        <v>20.32</v>
      </c>
      <c r="L245" s="386">
        <f t="shared" si="358"/>
        <v>41.32</v>
      </c>
      <c r="M245" s="386"/>
      <c r="N245" s="191">
        <f t="shared" si="359"/>
        <v>0.49177153920619554</v>
      </c>
      <c r="O245" s="152">
        <f t="shared" si="360"/>
        <v>1.9363504356243948</v>
      </c>
      <c r="P245" s="152">
        <f t="shared" si="361"/>
        <v>2.7883446272991286</v>
      </c>
      <c r="Q245" s="191">
        <f t="shared" si="362"/>
        <v>9.6817521781219745E-2</v>
      </c>
      <c r="R245" s="191">
        <f t="shared" si="363"/>
        <v>0.12102190222652467</v>
      </c>
      <c r="S245" s="191">
        <f t="shared" si="364"/>
        <v>20</v>
      </c>
      <c r="T245" s="191">
        <f t="shared" si="365"/>
        <v>0.22464941882264716</v>
      </c>
      <c r="U245" s="191">
        <f t="shared" si="366"/>
        <v>1.604638705876051</v>
      </c>
      <c r="V245" s="191">
        <f t="shared" si="367"/>
        <v>1.6583372452459186</v>
      </c>
      <c r="W245" s="175">
        <f t="shared" si="368"/>
        <v>350</v>
      </c>
      <c r="X245" s="386">
        <f t="shared" si="369"/>
        <v>306.46870065228381</v>
      </c>
      <c r="Z245" s="191">
        <f t="shared" si="370"/>
        <v>0.19670861568247827</v>
      </c>
      <c r="AA245" s="153">
        <f t="shared" si="371"/>
        <v>1.4520813165537272</v>
      </c>
      <c r="AB245" s="153">
        <f t="shared" si="372"/>
        <v>2.7770254714773877E-2</v>
      </c>
      <c r="AC245" s="153"/>
      <c r="AD245" s="153">
        <f t="shared" si="373"/>
        <v>1.1072834645669289</v>
      </c>
      <c r="AE245" s="317">
        <f t="shared" si="374"/>
        <v>349.202962962963</v>
      </c>
      <c r="AF245" s="463">
        <f t="shared" si="375"/>
        <v>2.9066190944881887E-2</v>
      </c>
      <c r="AH245" s="153">
        <f t="shared" si="376"/>
        <v>0.199427752761316</v>
      </c>
      <c r="AI245" s="153">
        <f t="shared" si="377"/>
        <v>0.22464941882264716</v>
      </c>
      <c r="AJ245" s="153">
        <f t="shared" si="378"/>
        <v>1.1995445502645503</v>
      </c>
      <c r="AL245" s="317">
        <f t="shared" si="379"/>
        <v>28.999999999999996</v>
      </c>
      <c r="AM245" s="147">
        <f t="shared" si="380"/>
        <v>349.202962962963</v>
      </c>
      <c r="AO245">
        <f t="shared" si="381"/>
        <v>28.999999999999996</v>
      </c>
      <c r="AP245">
        <f t="shared" si="382"/>
        <v>349.202962962963</v>
      </c>
      <c r="AR245" s="5">
        <f t="shared" si="343"/>
        <v>2.8636641325006784</v>
      </c>
      <c r="AS245" s="5">
        <f t="shared" si="385"/>
        <v>1.604638705876051</v>
      </c>
      <c r="AT245" s="5">
        <f t="shared" si="386"/>
        <v>1.2590254266246275</v>
      </c>
      <c r="AU245" s="153">
        <f t="shared" si="387"/>
        <v>0.5603445905769715</v>
      </c>
      <c r="CI245" s="59">
        <f t="shared" si="383"/>
        <v>-50</v>
      </c>
    </row>
    <row r="246" spans="5:87" x14ac:dyDescent="0.25">
      <c r="E246" s="150">
        <v>30</v>
      </c>
      <c r="F246" s="191">
        <f t="shared" si="384"/>
        <v>0.03</v>
      </c>
      <c r="G246" s="191">
        <f t="shared" si="353"/>
        <v>0.03</v>
      </c>
      <c r="H246" s="191">
        <f t="shared" si="354"/>
        <v>0.6</v>
      </c>
      <c r="I246" s="191">
        <f t="shared" si="355"/>
        <v>0.48</v>
      </c>
      <c r="J246" s="472">
        <f t="shared" si="356"/>
        <v>21</v>
      </c>
      <c r="K246" s="386">
        <f t="shared" si="357"/>
        <v>20.32</v>
      </c>
      <c r="L246" s="386">
        <f t="shared" si="358"/>
        <v>41.32</v>
      </c>
      <c r="M246" s="386"/>
      <c r="N246" s="191">
        <f t="shared" si="359"/>
        <v>0.49177153920619554</v>
      </c>
      <c r="O246" s="152">
        <f t="shared" si="360"/>
        <v>1.9363504356243948</v>
      </c>
      <c r="P246" s="152">
        <f t="shared" si="361"/>
        <v>2.7883446272991286</v>
      </c>
      <c r="Q246" s="191">
        <f t="shared" si="362"/>
        <v>9.6817521781219745E-2</v>
      </c>
      <c r="R246" s="191">
        <f t="shared" si="363"/>
        <v>0.12102190222652467</v>
      </c>
      <c r="S246" s="191">
        <f t="shared" si="364"/>
        <v>20</v>
      </c>
      <c r="T246" s="191">
        <f t="shared" si="365"/>
        <v>0.23239595050618672</v>
      </c>
      <c r="U246" s="191">
        <f t="shared" si="366"/>
        <v>1.6599710750441905</v>
      </c>
      <c r="V246" s="191">
        <f t="shared" si="367"/>
        <v>1.7155212881854331</v>
      </c>
      <c r="W246" s="175">
        <f t="shared" si="368"/>
        <v>350</v>
      </c>
      <c r="X246" s="386">
        <f t="shared" si="369"/>
        <v>296.25307729720765</v>
      </c>
      <c r="Z246" s="191">
        <f t="shared" si="370"/>
        <v>0.19670861568247827</v>
      </c>
      <c r="AA246" s="153">
        <f t="shared" si="371"/>
        <v>1.4520813165537272</v>
      </c>
      <c r="AB246" s="153">
        <f t="shared" si="372"/>
        <v>2.7770254714773877E-2</v>
      </c>
      <c r="AC246" s="153"/>
      <c r="AD246" s="153">
        <f t="shared" si="373"/>
        <v>1.1072834645669289</v>
      </c>
      <c r="AE246" s="317">
        <f t="shared" si="374"/>
        <v>361.24444444444441</v>
      </c>
      <c r="AF246" s="463">
        <f t="shared" si="375"/>
        <v>2.9066190944881887E-2</v>
      </c>
      <c r="AH246" s="153">
        <f t="shared" si="376"/>
        <v>0.202837021134844</v>
      </c>
      <c r="AI246" s="153">
        <f t="shared" si="377"/>
        <v>0.23239595050618672</v>
      </c>
      <c r="AJ246" s="153">
        <f t="shared" si="378"/>
        <v>1.2610340374119902</v>
      </c>
      <c r="AL246" s="317">
        <f t="shared" si="379"/>
        <v>30</v>
      </c>
      <c r="AM246" s="147">
        <f t="shared" si="380"/>
        <v>296.25307729720765</v>
      </c>
      <c r="AO246">
        <f t="shared" si="381"/>
        <v>30</v>
      </c>
      <c r="AP246">
        <f t="shared" si="382"/>
        <v>296.25307729720765</v>
      </c>
      <c r="AR246" s="5">
        <f t="shared" si="343"/>
        <v>3.3754923632296241</v>
      </c>
      <c r="AS246" s="5">
        <f t="shared" si="385"/>
        <v>1.6599710750441905</v>
      </c>
      <c r="AT246" s="5">
        <f t="shared" si="386"/>
        <v>1.7155212881854336</v>
      </c>
      <c r="AU246" s="153">
        <f t="shared" si="387"/>
        <v>0.49177153920619548</v>
      </c>
      <c r="CI246" s="59">
        <f t="shared" si="383"/>
        <v>-50</v>
      </c>
    </row>
    <row r="247" spans="5:87" x14ac:dyDescent="0.25">
      <c r="E247" s="150">
        <v>31</v>
      </c>
      <c r="F247" s="191">
        <f t="shared" si="384"/>
        <v>3.1E-2</v>
      </c>
      <c r="G247" s="191">
        <f t="shared" si="353"/>
        <v>3.1E-2</v>
      </c>
      <c r="H247" s="191">
        <f t="shared" si="354"/>
        <v>0.62</v>
      </c>
      <c r="I247" s="191">
        <f t="shared" si="355"/>
        <v>0.496</v>
      </c>
      <c r="J247" s="472">
        <f t="shared" si="356"/>
        <v>21</v>
      </c>
      <c r="K247" s="386">
        <f t="shared" si="357"/>
        <v>20.32</v>
      </c>
      <c r="L247" s="386">
        <f t="shared" si="358"/>
        <v>41.32</v>
      </c>
      <c r="M247" s="386"/>
      <c r="N247" s="191">
        <f t="shared" si="359"/>
        <v>0.49177153920619554</v>
      </c>
      <c r="O247" s="152">
        <f t="shared" si="360"/>
        <v>1.9363504356243948</v>
      </c>
      <c r="P247" s="152">
        <f t="shared" si="361"/>
        <v>2.7883446272991286</v>
      </c>
      <c r="Q247" s="191">
        <f t="shared" si="362"/>
        <v>9.6817521781219745E-2</v>
      </c>
      <c r="R247" s="191">
        <f t="shared" si="363"/>
        <v>0.12102190222652467</v>
      </c>
      <c r="S247" s="191">
        <f t="shared" si="364"/>
        <v>20</v>
      </c>
      <c r="T247" s="191">
        <f t="shared" si="365"/>
        <v>0.24014248218972628</v>
      </c>
      <c r="U247" s="191">
        <f t="shared" si="366"/>
        <v>1.7153034442123303</v>
      </c>
      <c r="V247" s="191">
        <f t="shared" si="367"/>
        <v>1.7727053311249477</v>
      </c>
      <c r="W247" s="175">
        <f t="shared" si="368"/>
        <v>350</v>
      </c>
      <c r="X247" s="386">
        <f t="shared" si="369"/>
        <v>286.6965264166526</v>
      </c>
      <c r="Z247" s="191">
        <f t="shared" si="370"/>
        <v>0.19670861568247827</v>
      </c>
      <c r="AA247" s="153">
        <f t="shared" si="371"/>
        <v>1.4520813165537272</v>
      </c>
      <c r="AB247" s="153">
        <f t="shared" si="372"/>
        <v>2.7770254714773877E-2</v>
      </c>
      <c r="AC247" s="153"/>
      <c r="AD247" s="153">
        <f t="shared" si="373"/>
        <v>1.1072834645669289</v>
      </c>
      <c r="AE247" s="317">
        <f t="shared" si="374"/>
        <v>373.28592592592594</v>
      </c>
      <c r="AF247" s="463">
        <f t="shared" si="375"/>
        <v>2.9066190944881887E-2</v>
      </c>
      <c r="AH247" s="153">
        <f t="shared" si="376"/>
        <v>0.20618992631621391</v>
      </c>
      <c r="AI247" s="153">
        <f t="shared" si="377"/>
        <v>0.24014248218972628</v>
      </c>
      <c r="AJ247" s="153">
        <f t="shared" si="378"/>
        <v>1.2667722090294269</v>
      </c>
      <c r="AL247" s="317">
        <f t="shared" si="379"/>
        <v>31</v>
      </c>
      <c r="AM247" s="147">
        <f t="shared" si="380"/>
        <v>286.6965264166526</v>
      </c>
      <c r="AO247">
        <f t="shared" si="381"/>
        <v>31</v>
      </c>
      <c r="AP247">
        <f t="shared" si="382"/>
        <v>286.6965264166526</v>
      </c>
      <c r="AR247" s="5">
        <f t="shared" si="343"/>
        <v>3.4880087753372777</v>
      </c>
      <c r="AS247" s="5">
        <f t="shared" si="385"/>
        <v>1.7153034442123303</v>
      </c>
      <c r="AT247" s="5">
        <f t="shared" si="386"/>
        <v>1.7727053311249474</v>
      </c>
      <c r="AU247" s="153">
        <f t="shared" si="387"/>
        <v>0.4917715392061956</v>
      </c>
      <c r="CI247" s="59">
        <f t="shared" si="383"/>
        <v>-50</v>
      </c>
    </row>
    <row r="248" spans="5:87" x14ac:dyDescent="0.25">
      <c r="E248" s="150">
        <v>32</v>
      </c>
      <c r="F248" s="191">
        <f t="shared" si="384"/>
        <v>3.2000000000000001E-2</v>
      </c>
      <c r="G248" s="191">
        <f t="shared" ref="G248:G279" si="388">IF(PLOT_TYPE=1, E248/100*Iout2, min_I*EXP(Q248*rr/100))</f>
        <v>3.2000000000000001E-2</v>
      </c>
      <c r="H248" s="191">
        <f t="shared" ref="H248:H279" si="389">F248*Vout</f>
        <v>0.64</v>
      </c>
      <c r="I248" s="191">
        <f t="shared" ref="I248:I279" si="390">Vout2*G248</f>
        <v>0.51200000000000001</v>
      </c>
      <c r="J248" s="472">
        <f t="shared" si="356"/>
        <v>21</v>
      </c>
      <c r="K248" s="386">
        <f t="shared" si="357"/>
        <v>20.32</v>
      </c>
      <c r="L248" s="386">
        <f t="shared" si="358"/>
        <v>41.32</v>
      </c>
      <c r="M248" s="386"/>
      <c r="N248" s="191">
        <f t="shared" si="359"/>
        <v>0.49177153920619554</v>
      </c>
      <c r="O248" s="152">
        <f t="shared" ref="O248:O279" si="391">N248*J248*Isw_max*0.5*Efficiency*Pout/(Pout+Pout2)</f>
        <v>1.9363504356243948</v>
      </c>
      <c r="P248" s="152">
        <f t="shared" ref="P248:P279" si="392">N248*J248*Isw_max*0.5*Efficiency*(Pout2/Pout_total)</f>
        <v>2.7883446272991286</v>
      </c>
      <c r="Q248" s="191">
        <f t="shared" si="362"/>
        <v>9.6817521781219745E-2</v>
      </c>
      <c r="R248" s="191">
        <f t="shared" ref="R248:R279" si="393">O248/Vout2</f>
        <v>0.12102190222652467</v>
      </c>
      <c r="S248" s="191">
        <f t="shared" ref="S248:S279" si="394">MIN(Vout,O248/F248)</f>
        <v>20</v>
      </c>
      <c r="T248" s="191">
        <f t="shared" ref="T248:T279" si="395">MIN(2*(Vout*F248+Vout2*G248)/(Efficiency*J248*N248), Isw_max)</f>
        <v>0.24788901387326587</v>
      </c>
      <c r="U248" s="191">
        <f t="shared" si="366"/>
        <v>1.7706358133804703</v>
      </c>
      <c r="V248" s="191">
        <f t="shared" si="367"/>
        <v>1.8298893740644624</v>
      </c>
      <c r="W248" s="175">
        <f t="shared" si="368"/>
        <v>350</v>
      </c>
      <c r="X248" s="386">
        <f t="shared" si="369"/>
        <v>277.73725996613217</v>
      </c>
      <c r="Z248" s="191">
        <f t="shared" si="370"/>
        <v>0.19670861568247827</v>
      </c>
      <c r="AA248" s="153">
        <f t="shared" si="371"/>
        <v>1.4520813165537272</v>
      </c>
      <c r="AB248" s="153">
        <f t="shared" ref="AB248:AB279" si="396">0.5*AA248*Z248*Nps*W248/1000*(Pout/(Pout+Pout2))</f>
        <v>2.7770254714773877E-2</v>
      </c>
      <c r="AC248" s="153"/>
      <c r="AD248" s="153">
        <f t="shared" si="373"/>
        <v>1.1072834645669289</v>
      </c>
      <c r="AE248" s="317">
        <f t="shared" ref="AE248:AE279" si="397">MAX(10, F248/(0.5*AD248/1000000*Isw_min*Nps)/1000*Pout_total/Pout)</f>
        <v>385.32740740740741</v>
      </c>
      <c r="AF248" s="463">
        <f t="shared" ref="AF248:AF279" si="398">0.5*AD248/1000000*Isw_min*Nps*W248*1000*(Pout/Pout_total)</f>
        <v>2.9066190944881887E-2</v>
      </c>
      <c r="AH248" s="153">
        <f t="shared" ref="AH248:AH279" si="399">SQRT((H248+I248)/(0.5*L*Fsw_DCM))</f>
        <v>0.20948917462655273</v>
      </c>
      <c r="AI248" s="153">
        <f t="shared" ref="AI248:AI279" si="400">MAX(IF(F248&gt;AB248,T248,AH248),Isw_min)</f>
        <v>0.24788901387326587</v>
      </c>
      <c r="AJ248" s="153">
        <f t="shared" ref="AJ248:AJ279" si="401">IF(F248&gt;AF248, (AI248-Isw_min)/1.08*0.8+1.2, AE248*0.2/350+1)</f>
        <v>1.2725103806468636</v>
      </c>
      <c r="AL248" s="317">
        <f t="shared" ref="AL248:AL279" si="402">F248*1000</f>
        <v>32</v>
      </c>
      <c r="AM248" s="147">
        <f t="shared" ref="AM248:AM279" si="403">IF(F248&gt;AF248, X248, AE248)</f>
        <v>277.73725996613217</v>
      </c>
      <c r="AO248">
        <f t="shared" si="381"/>
        <v>32</v>
      </c>
      <c r="AP248">
        <f t="shared" si="382"/>
        <v>277.73725996613217</v>
      </c>
      <c r="AR248" s="5">
        <f t="shared" si="343"/>
        <v>3.6005251874449327</v>
      </c>
      <c r="AS248" s="5">
        <f t="shared" si="385"/>
        <v>1.7706358133804703</v>
      </c>
      <c r="AT248" s="5">
        <f t="shared" si="386"/>
        <v>1.8298893740644624</v>
      </c>
      <c r="AU248" s="153">
        <f t="shared" si="387"/>
        <v>0.49177153920619554</v>
      </c>
      <c r="CI248" s="59">
        <f t="shared" ref="CI248:CI279" si="404">IF(ABS(F248-Ioutmax_Vinmax)&lt;Iout/200, AM248, -50)</f>
        <v>-50</v>
      </c>
    </row>
    <row r="249" spans="5:87" x14ac:dyDescent="0.25">
      <c r="E249" s="150">
        <v>33</v>
      </c>
      <c r="F249" s="191">
        <f t="shared" ref="F249:F280" si="405">IF(PLOT_TYPE=1, E249/100*Iout_max, min_I*EXP(O249*rr/100))</f>
        <v>3.3000000000000002E-2</v>
      </c>
      <c r="G249" s="191">
        <f t="shared" si="388"/>
        <v>3.3000000000000002E-2</v>
      </c>
      <c r="H249" s="191">
        <f t="shared" si="389"/>
        <v>0.66</v>
      </c>
      <c r="I249" s="191">
        <f t="shared" si="390"/>
        <v>0.52800000000000002</v>
      </c>
      <c r="J249" s="472">
        <f t="shared" si="356"/>
        <v>21</v>
      </c>
      <c r="K249" s="386">
        <f t="shared" si="357"/>
        <v>20.32</v>
      </c>
      <c r="L249" s="386">
        <f t="shared" si="358"/>
        <v>41.32</v>
      </c>
      <c r="M249" s="386"/>
      <c r="N249" s="191">
        <f t="shared" si="359"/>
        <v>0.49177153920619554</v>
      </c>
      <c r="O249" s="152">
        <f t="shared" si="391"/>
        <v>1.9363504356243948</v>
      </c>
      <c r="P249" s="152">
        <f t="shared" si="392"/>
        <v>2.7883446272991286</v>
      </c>
      <c r="Q249" s="191">
        <f t="shared" si="362"/>
        <v>9.6817521781219745E-2</v>
      </c>
      <c r="R249" s="191">
        <f t="shared" si="393"/>
        <v>0.12102190222652467</v>
      </c>
      <c r="S249" s="191">
        <f t="shared" si="394"/>
        <v>20</v>
      </c>
      <c r="T249" s="191">
        <f t="shared" si="395"/>
        <v>0.2556355455568054</v>
      </c>
      <c r="U249" s="191">
        <f t="shared" si="366"/>
        <v>1.8259681825486098</v>
      </c>
      <c r="V249" s="191">
        <f t="shared" si="367"/>
        <v>1.8870734170039765</v>
      </c>
      <c r="W249" s="175">
        <f t="shared" si="368"/>
        <v>350</v>
      </c>
      <c r="X249" s="386">
        <f t="shared" si="369"/>
        <v>269.3209793610979</v>
      </c>
      <c r="Z249" s="191">
        <f t="shared" si="370"/>
        <v>0.19670861568247827</v>
      </c>
      <c r="AA249" s="153">
        <f t="shared" si="371"/>
        <v>1.4520813165537272</v>
      </c>
      <c r="AB249" s="153">
        <f t="shared" si="396"/>
        <v>2.7770254714773877E-2</v>
      </c>
      <c r="AC249" s="153"/>
      <c r="AD249" s="153">
        <f t="shared" si="373"/>
        <v>1.1072834645669289</v>
      </c>
      <c r="AE249" s="317">
        <f t="shared" si="397"/>
        <v>397.36888888888893</v>
      </c>
      <c r="AF249" s="463">
        <f t="shared" si="398"/>
        <v>2.9066190944881887E-2</v>
      </c>
      <c r="AH249" s="153">
        <f t="shared" si="399"/>
        <v>0.21273726250270042</v>
      </c>
      <c r="AI249" s="153">
        <f t="shared" si="400"/>
        <v>0.2556355455568054</v>
      </c>
      <c r="AJ249" s="153">
        <f t="shared" si="401"/>
        <v>1.2782485522643003</v>
      </c>
      <c r="AL249" s="317">
        <f t="shared" si="402"/>
        <v>33</v>
      </c>
      <c r="AM249" s="147">
        <f t="shared" si="403"/>
        <v>269.3209793610979</v>
      </c>
      <c r="AO249">
        <f t="shared" si="381"/>
        <v>33</v>
      </c>
      <c r="AP249">
        <f t="shared" si="382"/>
        <v>269.3209793610979</v>
      </c>
      <c r="AR249" s="5">
        <f t="shared" si="343"/>
        <v>3.7130415995525863</v>
      </c>
      <c r="AS249" s="5">
        <f t="shared" si="385"/>
        <v>1.8259681825486098</v>
      </c>
      <c r="AT249" s="5">
        <f t="shared" si="386"/>
        <v>1.8870734170039765</v>
      </c>
      <c r="AU249" s="153">
        <f t="shared" si="387"/>
        <v>0.4917715392061956</v>
      </c>
      <c r="CI249" s="59">
        <f t="shared" si="404"/>
        <v>-50</v>
      </c>
    </row>
    <row r="250" spans="5:87" x14ac:dyDescent="0.25">
      <c r="E250" s="150">
        <v>34</v>
      </c>
      <c r="F250" s="191">
        <f t="shared" si="405"/>
        <v>3.4000000000000002E-2</v>
      </c>
      <c r="G250" s="191">
        <f t="shared" si="388"/>
        <v>3.4000000000000002E-2</v>
      </c>
      <c r="H250" s="191">
        <f t="shared" si="389"/>
        <v>0.68</v>
      </c>
      <c r="I250" s="191">
        <f t="shared" si="390"/>
        <v>0.54400000000000004</v>
      </c>
      <c r="J250" s="472">
        <f t="shared" si="356"/>
        <v>21</v>
      </c>
      <c r="K250" s="386">
        <f t="shared" si="357"/>
        <v>20.32</v>
      </c>
      <c r="L250" s="386">
        <f t="shared" si="358"/>
        <v>41.32</v>
      </c>
      <c r="M250" s="386"/>
      <c r="N250" s="191">
        <f t="shared" si="359"/>
        <v>0.49177153920619554</v>
      </c>
      <c r="O250" s="152">
        <f t="shared" si="391"/>
        <v>1.9363504356243948</v>
      </c>
      <c r="P250" s="152">
        <f t="shared" si="392"/>
        <v>2.7883446272991286</v>
      </c>
      <c r="Q250" s="191">
        <f t="shared" si="362"/>
        <v>9.6817521781219745E-2</v>
      </c>
      <c r="R250" s="191">
        <f t="shared" si="393"/>
        <v>0.12102190222652467</v>
      </c>
      <c r="S250" s="191">
        <f t="shared" si="394"/>
        <v>20</v>
      </c>
      <c r="T250" s="191">
        <f t="shared" si="395"/>
        <v>0.26338207724034496</v>
      </c>
      <c r="U250" s="191">
        <f t="shared" si="366"/>
        <v>1.8813005517167494</v>
      </c>
      <c r="V250" s="191">
        <f t="shared" si="367"/>
        <v>1.944257459943491</v>
      </c>
      <c r="W250" s="175">
        <f t="shared" si="368"/>
        <v>350</v>
      </c>
      <c r="X250" s="386">
        <f t="shared" si="369"/>
        <v>261.39977408577147</v>
      </c>
      <c r="Z250" s="191">
        <f t="shared" si="370"/>
        <v>0.19670861568247827</v>
      </c>
      <c r="AA250" s="153">
        <f t="shared" si="371"/>
        <v>1.4520813165537272</v>
      </c>
      <c r="AB250" s="153">
        <f t="shared" si="396"/>
        <v>2.7770254714773877E-2</v>
      </c>
      <c r="AC250" s="153"/>
      <c r="AD250" s="153">
        <f t="shared" si="373"/>
        <v>1.1072834645669289</v>
      </c>
      <c r="AE250" s="317">
        <f t="shared" si="397"/>
        <v>409.41037037037046</v>
      </c>
      <c r="AF250" s="463">
        <f t="shared" si="398"/>
        <v>2.9066190944881887E-2</v>
      </c>
      <c r="AH250" s="153">
        <f t="shared" si="399"/>
        <v>0.215936498602185</v>
      </c>
      <c r="AI250" s="153">
        <f t="shared" si="400"/>
        <v>0.26338207724034496</v>
      </c>
      <c r="AJ250" s="153">
        <f t="shared" si="401"/>
        <v>1.2839867238817368</v>
      </c>
      <c r="AL250" s="317">
        <f t="shared" si="402"/>
        <v>34</v>
      </c>
      <c r="AM250" s="147">
        <f t="shared" si="403"/>
        <v>261.39977408577147</v>
      </c>
      <c r="AO250">
        <f t="shared" si="381"/>
        <v>34</v>
      </c>
      <c r="AP250">
        <f t="shared" si="382"/>
        <v>261.39977408577147</v>
      </c>
      <c r="AR250" s="5">
        <f t="shared" si="343"/>
        <v>3.8255580116602408</v>
      </c>
      <c r="AS250" s="5">
        <f t="shared" si="385"/>
        <v>1.8813005517167494</v>
      </c>
      <c r="AT250" s="5">
        <f t="shared" si="386"/>
        <v>1.9442574599434914</v>
      </c>
      <c r="AU250" s="153">
        <f t="shared" si="387"/>
        <v>0.49177153920619548</v>
      </c>
      <c r="CI250" s="59">
        <f t="shared" si="404"/>
        <v>-50</v>
      </c>
    </row>
    <row r="251" spans="5:87" x14ac:dyDescent="0.25">
      <c r="E251" s="150">
        <v>35</v>
      </c>
      <c r="F251" s="191">
        <f t="shared" si="405"/>
        <v>3.4999999999999996E-2</v>
      </c>
      <c r="G251" s="191">
        <f t="shared" si="388"/>
        <v>3.4999999999999996E-2</v>
      </c>
      <c r="H251" s="191">
        <f t="shared" si="389"/>
        <v>0.7</v>
      </c>
      <c r="I251" s="191">
        <f t="shared" si="390"/>
        <v>0.55999999999999994</v>
      </c>
      <c r="J251" s="472">
        <f t="shared" si="356"/>
        <v>21</v>
      </c>
      <c r="K251" s="386">
        <f t="shared" si="357"/>
        <v>20.32</v>
      </c>
      <c r="L251" s="386">
        <f t="shared" si="358"/>
        <v>41.32</v>
      </c>
      <c r="M251" s="386"/>
      <c r="N251" s="191">
        <f t="shared" si="359"/>
        <v>0.49177153920619554</v>
      </c>
      <c r="O251" s="152">
        <f t="shared" si="391"/>
        <v>1.9363504356243948</v>
      </c>
      <c r="P251" s="152">
        <f t="shared" si="392"/>
        <v>2.7883446272991286</v>
      </c>
      <c r="Q251" s="191">
        <f t="shared" si="362"/>
        <v>9.6817521781219745E-2</v>
      </c>
      <c r="R251" s="191">
        <f t="shared" si="393"/>
        <v>0.12102190222652467</v>
      </c>
      <c r="S251" s="191">
        <f t="shared" si="394"/>
        <v>20</v>
      </c>
      <c r="T251" s="191">
        <f t="shared" si="395"/>
        <v>0.27112860892388446</v>
      </c>
      <c r="U251" s="191">
        <f t="shared" si="366"/>
        <v>1.9366329208848887</v>
      </c>
      <c r="V251" s="191">
        <f t="shared" si="367"/>
        <v>2.0014415028830053</v>
      </c>
      <c r="W251" s="175">
        <f t="shared" si="368"/>
        <v>350</v>
      </c>
      <c r="X251" s="386">
        <f t="shared" si="369"/>
        <v>253.93120911189231</v>
      </c>
      <c r="Z251" s="191">
        <f t="shared" si="370"/>
        <v>0.19670861568247827</v>
      </c>
      <c r="AA251" s="153">
        <f t="shared" si="371"/>
        <v>1.4520813165537272</v>
      </c>
      <c r="AB251" s="153">
        <f t="shared" si="396"/>
        <v>2.7770254714773877E-2</v>
      </c>
      <c r="AC251" s="153"/>
      <c r="AD251" s="153">
        <f t="shared" si="373"/>
        <v>1.1072834645669289</v>
      </c>
      <c r="AE251" s="317">
        <f t="shared" si="397"/>
        <v>421.45185185185187</v>
      </c>
      <c r="AF251" s="463">
        <f t="shared" si="398"/>
        <v>2.9066190944881887E-2</v>
      </c>
      <c r="AH251" s="153">
        <f t="shared" si="399"/>
        <v>0.21908902300206645</v>
      </c>
      <c r="AI251" s="153">
        <f t="shared" si="400"/>
        <v>0.27112860892388446</v>
      </c>
      <c r="AJ251" s="153">
        <f t="shared" si="401"/>
        <v>1.2897248954991736</v>
      </c>
      <c r="AL251" s="317">
        <f t="shared" si="402"/>
        <v>34.999999999999993</v>
      </c>
      <c r="AM251" s="147">
        <f t="shared" si="403"/>
        <v>253.93120911189231</v>
      </c>
      <c r="AO251">
        <f t="shared" si="381"/>
        <v>34.999999999999993</v>
      </c>
      <c r="AP251">
        <f t="shared" si="382"/>
        <v>253.93120911189231</v>
      </c>
      <c r="AR251" s="5">
        <f t="shared" si="343"/>
        <v>3.9380744237678948</v>
      </c>
      <c r="AS251" s="5">
        <f t="shared" si="385"/>
        <v>1.9366329208848887</v>
      </c>
      <c r="AT251" s="5">
        <f t="shared" si="386"/>
        <v>2.0014415028830062</v>
      </c>
      <c r="AU251" s="153">
        <f t="shared" si="387"/>
        <v>0.49177153920619543</v>
      </c>
      <c r="CI251" s="59">
        <f t="shared" si="404"/>
        <v>-50</v>
      </c>
    </row>
    <row r="252" spans="5:87" x14ac:dyDescent="0.25">
      <c r="E252" s="150">
        <v>36</v>
      </c>
      <c r="F252" s="191">
        <f t="shared" si="405"/>
        <v>3.5999999999999997E-2</v>
      </c>
      <c r="G252" s="191">
        <f t="shared" si="388"/>
        <v>3.5999999999999997E-2</v>
      </c>
      <c r="H252" s="191">
        <f t="shared" si="389"/>
        <v>0.72</v>
      </c>
      <c r="I252" s="191">
        <f t="shared" si="390"/>
        <v>0.57599999999999996</v>
      </c>
      <c r="J252" s="472">
        <f t="shared" si="356"/>
        <v>21</v>
      </c>
      <c r="K252" s="386">
        <f t="shared" si="357"/>
        <v>20.32</v>
      </c>
      <c r="L252" s="386">
        <f t="shared" si="358"/>
        <v>41.32</v>
      </c>
      <c r="M252" s="386"/>
      <c r="N252" s="191">
        <f t="shared" si="359"/>
        <v>0.49177153920619554</v>
      </c>
      <c r="O252" s="152">
        <f t="shared" si="391"/>
        <v>1.9363504356243948</v>
      </c>
      <c r="P252" s="152">
        <f t="shared" si="392"/>
        <v>2.7883446272991286</v>
      </c>
      <c r="Q252" s="191">
        <f t="shared" si="362"/>
        <v>9.6817521781219745E-2</v>
      </c>
      <c r="R252" s="191">
        <f t="shared" si="393"/>
        <v>0.12102190222652467</v>
      </c>
      <c r="S252" s="191">
        <f t="shared" si="394"/>
        <v>20</v>
      </c>
      <c r="T252" s="191">
        <f t="shared" si="395"/>
        <v>0.27887514060742402</v>
      </c>
      <c r="U252" s="191">
        <f t="shared" si="366"/>
        <v>1.9919652900530287</v>
      </c>
      <c r="V252" s="191">
        <f t="shared" si="367"/>
        <v>2.0586255458225198</v>
      </c>
      <c r="W252" s="175">
        <f t="shared" si="368"/>
        <v>350</v>
      </c>
      <c r="X252" s="386">
        <f t="shared" si="369"/>
        <v>246.87756441433979</v>
      </c>
      <c r="Z252" s="191">
        <f t="shared" si="370"/>
        <v>0.19670861568247827</v>
      </c>
      <c r="AA252" s="153">
        <f t="shared" si="371"/>
        <v>1.4520813165537272</v>
      </c>
      <c r="AB252" s="153">
        <f t="shared" si="396"/>
        <v>2.7770254714773877E-2</v>
      </c>
      <c r="AC252" s="153"/>
      <c r="AD252" s="153">
        <f t="shared" si="373"/>
        <v>1.1072834645669289</v>
      </c>
      <c r="AE252" s="317">
        <f t="shared" si="397"/>
        <v>433.49333333333334</v>
      </c>
      <c r="AF252" s="463">
        <f t="shared" si="398"/>
        <v>2.9066190944881887E-2</v>
      </c>
      <c r="AH252" s="153">
        <f t="shared" si="399"/>
        <v>0.22219682394541235</v>
      </c>
      <c r="AI252" s="153">
        <f t="shared" si="400"/>
        <v>0.27887514060742402</v>
      </c>
      <c r="AJ252" s="153">
        <f t="shared" si="401"/>
        <v>1.2954630671166103</v>
      </c>
      <c r="AL252" s="317">
        <f t="shared" si="402"/>
        <v>36</v>
      </c>
      <c r="AM252" s="147">
        <f t="shared" si="403"/>
        <v>246.87756441433979</v>
      </c>
      <c r="AO252">
        <f t="shared" si="381"/>
        <v>36</v>
      </c>
      <c r="AP252">
        <f t="shared" si="382"/>
        <v>246.87756441433979</v>
      </c>
      <c r="AR252" s="5">
        <f t="shared" si="343"/>
        <v>4.050590835875548</v>
      </c>
      <c r="AS252" s="5">
        <f t="shared" si="385"/>
        <v>1.9919652900530287</v>
      </c>
      <c r="AT252" s="5">
        <f t="shared" si="386"/>
        <v>2.0586255458225193</v>
      </c>
      <c r="AU252" s="153">
        <f t="shared" si="387"/>
        <v>0.4917715392061956</v>
      </c>
      <c r="CI252" s="59">
        <f t="shared" si="404"/>
        <v>-50</v>
      </c>
    </row>
    <row r="253" spans="5:87" x14ac:dyDescent="0.25">
      <c r="E253" s="150">
        <v>37</v>
      </c>
      <c r="F253" s="191">
        <f t="shared" si="405"/>
        <v>3.6999999999999998E-2</v>
      </c>
      <c r="G253" s="191">
        <f t="shared" si="388"/>
        <v>3.6999999999999998E-2</v>
      </c>
      <c r="H253" s="191">
        <f t="shared" si="389"/>
        <v>0.74</v>
      </c>
      <c r="I253" s="191">
        <f t="shared" si="390"/>
        <v>0.59199999999999997</v>
      </c>
      <c r="J253" s="472">
        <f t="shared" si="356"/>
        <v>21</v>
      </c>
      <c r="K253" s="386">
        <f t="shared" si="357"/>
        <v>20.32</v>
      </c>
      <c r="L253" s="386">
        <f t="shared" si="358"/>
        <v>41.32</v>
      </c>
      <c r="M253" s="386"/>
      <c r="N253" s="191">
        <f t="shared" si="359"/>
        <v>0.49177153920619554</v>
      </c>
      <c r="O253" s="152">
        <f t="shared" si="391"/>
        <v>1.9363504356243948</v>
      </c>
      <c r="P253" s="152">
        <f t="shared" si="392"/>
        <v>2.7883446272991286</v>
      </c>
      <c r="Q253" s="191">
        <f t="shared" si="362"/>
        <v>9.6817521781219745E-2</v>
      </c>
      <c r="R253" s="191">
        <f t="shared" si="393"/>
        <v>0.12102190222652467</v>
      </c>
      <c r="S253" s="191">
        <f t="shared" si="394"/>
        <v>20</v>
      </c>
      <c r="T253" s="191">
        <f t="shared" si="395"/>
        <v>0.28662167229096358</v>
      </c>
      <c r="U253" s="191">
        <f t="shared" si="366"/>
        <v>2.0472976592211682</v>
      </c>
      <c r="V253" s="191">
        <f t="shared" si="367"/>
        <v>2.1158095887620343</v>
      </c>
      <c r="W253" s="175">
        <f t="shared" si="368"/>
        <v>350</v>
      </c>
      <c r="X253" s="386">
        <f t="shared" si="369"/>
        <v>240.20519780854681</v>
      </c>
      <c r="Z253" s="191">
        <f t="shared" si="370"/>
        <v>0.19670861568247827</v>
      </c>
      <c r="AA253" s="153">
        <f t="shared" si="371"/>
        <v>1.4520813165537272</v>
      </c>
      <c r="AB253" s="153">
        <f t="shared" si="396"/>
        <v>2.7770254714773877E-2</v>
      </c>
      <c r="AC253" s="153"/>
      <c r="AD253" s="153">
        <f t="shared" si="373"/>
        <v>1.1072834645669289</v>
      </c>
      <c r="AE253" s="317">
        <f t="shared" si="397"/>
        <v>445.53481481481481</v>
      </c>
      <c r="AF253" s="463">
        <f t="shared" si="398"/>
        <v>2.9066190944881887E-2</v>
      </c>
      <c r="AH253" s="153">
        <f t="shared" si="399"/>
        <v>0.22526175250773742</v>
      </c>
      <c r="AI253" s="153">
        <f t="shared" si="400"/>
        <v>0.28662167229096358</v>
      </c>
      <c r="AJ253" s="153">
        <f t="shared" si="401"/>
        <v>1.301201238734047</v>
      </c>
      <c r="AL253" s="317">
        <f t="shared" si="402"/>
        <v>37</v>
      </c>
      <c r="AM253" s="147">
        <f t="shared" si="403"/>
        <v>240.20519780854681</v>
      </c>
      <c r="AO253">
        <f t="shared" si="381"/>
        <v>37</v>
      </c>
      <c r="AP253">
        <f t="shared" si="382"/>
        <v>240.20519780854681</v>
      </c>
      <c r="AR253" s="5">
        <f t="shared" si="343"/>
        <v>4.1631072479832021</v>
      </c>
      <c r="AS253" s="5">
        <f t="shared" si="385"/>
        <v>2.0472976592211682</v>
      </c>
      <c r="AT253" s="5">
        <f t="shared" si="386"/>
        <v>2.1158095887620338</v>
      </c>
      <c r="AU253" s="153">
        <f t="shared" si="387"/>
        <v>0.4917715392061956</v>
      </c>
      <c r="CI253" s="59">
        <f t="shared" si="404"/>
        <v>-50</v>
      </c>
    </row>
    <row r="254" spans="5:87" x14ac:dyDescent="0.25">
      <c r="E254" s="150">
        <v>38</v>
      </c>
      <c r="F254" s="191">
        <f t="shared" si="405"/>
        <v>3.8000000000000006E-2</v>
      </c>
      <c r="G254" s="191">
        <f t="shared" si="388"/>
        <v>3.8000000000000006E-2</v>
      </c>
      <c r="H254" s="191">
        <f t="shared" si="389"/>
        <v>0.76000000000000012</v>
      </c>
      <c r="I254" s="191">
        <f t="shared" si="390"/>
        <v>0.6080000000000001</v>
      </c>
      <c r="J254" s="472">
        <f t="shared" si="356"/>
        <v>21</v>
      </c>
      <c r="K254" s="386">
        <f t="shared" si="357"/>
        <v>20.32</v>
      </c>
      <c r="L254" s="386">
        <f t="shared" si="358"/>
        <v>41.32</v>
      </c>
      <c r="M254" s="386"/>
      <c r="N254" s="191">
        <f t="shared" si="359"/>
        <v>0.49177153920619554</v>
      </c>
      <c r="O254" s="152">
        <f t="shared" si="391"/>
        <v>1.9363504356243948</v>
      </c>
      <c r="P254" s="152">
        <f t="shared" si="392"/>
        <v>2.7883446272991286</v>
      </c>
      <c r="Q254" s="191">
        <f t="shared" si="362"/>
        <v>9.6817521781219745E-2</v>
      </c>
      <c r="R254" s="191">
        <f t="shared" si="393"/>
        <v>0.12102190222652467</v>
      </c>
      <c r="S254" s="191">
        <f t="shared" si="394"/>
        <v>20</v>
      </c>
      <c r="T254" s="191">
        <f t="shared" si="395"/>
        <v>0.29436820397450325</v>
      </c>
      <c r="U254" s="191">
        <f t="shared" si="366"/>
        <v>2.1026300283893087</v>
      </c>
      <c r="V254" s="191">
        <f t="shared" si="367"/>
        <v>2.1729936317015492</v>
      </c>
      <c r="W254" s="175">
        <f t="shared" si="368"/>
        <v>350</v>
      </c>
      <c r="X254" s="386">
        <f t="shared" si="369"/>
        <v>233.88400839253231</v>
      </c>
      <c r="Z254" s="191">
        <f t="shared" si="370"/>
        <v>0.19670861568247827</v>
      </c>
      <c r="AA254" s="153">
        <f t="shared" si="371"/>
        <v>1.4520813165537272</v>
      </c>
      <c r="AB254" s="153">
        <f t="shared" si="396"/>
        <v>2.7770254714773877E-2</v>
      </c>
      <c r="AC254" s="153"/>
      <c r="AD254" s="153">
        <f t="shared" si="373"/>
        <v>1.1072834645669289</v>
      </c>
      <c r="AE254" s="317">
        <f t="shared" si="397"/>
        <v>457.57629629629639</v>
      </c>
      <c r="AF254" s="463">
        <f t="shared" si="398"/>
        <v>2.9066190944881887E-2</v>
      </c>
      <c r="AH254" s="153">
        <f t="shared" si="399"/>
        <v>0.22828553549072209</v>
      </c>
      <c r="AI254" s="153">
        <f t="shared" si="400"/>
        <v>0.29436820397450325</v>
      </c>
      <c r="AJ254" s="153">
        <f t="shared" si="401"/>
        <v>1.3069394103514838</v>
      </c>
      <c r="AL254" s="317">
        <f t="shared" si="402"/>
        <v>38.000000000000007</v>
      </c>
      <c r="AM254" s="147">
        <f t="shared" si="403"/>
        <v>233.88400839253231</v>
      </c>
      <c r="AO254">
        <f t="shared" si="381"/>
        <v>38.000000000000007</v>
      </c>
      <c r="AP254">
        <f t="shared" si="382"/>
        <v>233.88400839253231</v>
      </c>
      <c r="AR254" s="5">
        <f t="shared" si="343"/>
        <v>4.2756236600908579</v>
      </c>
      <c r="AS254" s="5">
        <f t="shared" si="385"/>
        <v>2.1026300283893087</v>
      </c>
      <c r="AT254" s="5">
        <f t="shared" si="386"/>
        <v>2.1729936317015492</v>
      </c>
      <c r="AU254" s="153">
        <f t="shared" si="387"/>
        <v>0.49177153920619554</v>
      </c>
      <c r="CI254" s="59">
        <f t="shared" si="404"/>
        <v>-50</v>
      </c>
    </row>
    <row r="255" spans="5:87" x14ac:dyDescent="0.25">
      <c r="E255" s="150">
        <v>39</v>
      </c>
      <c r="F255" s="191">
        <f t="shared" si="405"/>
        <v>3.9000000000000007E-2</v>
      </c>
      <c r="G255" s="191">
        <f t="shared" si="388"/>
        <v>3.9000000000000007E-2</v>
      </c>
      <c r="H255" s="191">
        <f t="shared" si="389"/>
        <v>0.78000000000000014</v>
      </c>
      <c r="I255" s="191">
        <f t="shared" si="390"/>
        <v>0.62400000000000011</v>
      </c>
      <c r="J255" s="472">
        <f t="shared" si="356"/>
        <v>21</v>
      </c>
      <c r="K255" s="386">
        <f t="shared" si="357"/>
        <v>20.32</v>
      </c>
      <c r="L255" s="386">
        <f t="shared" si="358"/>
        <v>41.32</v>
      </c>
      <c r="M255" s="386"/>
      <c r="N255" s="191">
        <f t="shared" si="359"/>
        <v>0.49177153920619554</v>
      </c>
      <c r="O255" s="152">
        <f t="shared" si="391"/>
        <v>1.9363504356243948</v>
      </c>
      <c r="P255" s="152">
        <f t="shared" si="392"/>
        <v>2.7883446272991286</v>
      </c>
      <c r="Q255" s="191">
        <f t="shared" si="362"/>
        <v>9.6817521781219745E-2</v>
      </c>
      <c r="R255" s="191">
        <f t="shared" si="393"/>
        <v>0.12102190222652467</v>
      </c>
      <c r="S255" s="191">
        <f t="shared" si="394"/>
        <v>20</v>
      </c>
      <c r="T255" s="191">
        <f t="shared" si="395"/>
        <v>0.30211473565804281</v>
      </c>
      <c r="U255" s="191">
        <f t="shared" si="366"/>
        <v>2.1579623975574482</v>
      </c>
      <c r="V255" s="191">
        <f t="shared" si="367"/>
        <v>2.2301776746410638</v>
      </c>
      <c r="W255" s="175">
        <f t="shared" si="368"/>
        <v>350</v>
      </c>
      <c r="X255" s="386">
        <f t="shared" si="369"/>
        <v>227.88698253631355</v>
      </c>
      <c r="Z255" s="191">
        <f t="shared" si="370"/>
        <v>0.19670861568247827</v>
      </c>
      <c r="AA255" s="153">
        <f t="shared" si="371"/>
        <v>1.4520813165537272</v>
      </c>
      <c r="AB255" s="153">
        <f t="shared" si="396"/>
        <v>2.7770254714773877E-2</v>
      </c>
      <c r="AC255" s="153"/>
      <c r="AD255" s="153">
        <f t="shared" si="373"/>
        <v>1.1072834645669289</v>
      </c>
      <c r="AE255" s="317">
        <f t="shared" si="397"/>
        <v>469.61777777777786</v>
      </c>
      <c r="AF255" s="463">
        <f t="shared" si="398"/>
        <v>2.9066190944881887E-2</v>
      </c>
      <c r="AH255" s="153">
        <f t="shared" si="399"/>
        <v>0.23126978679826363</v>
      </c>
      <c r="AI255" s="153">
        <f t="shared" si="400"/>
        <v>0.30211473565804281</v>
      </c>
      <c r="AJ255" s="153">
        <f t="shared" si="401"/>
        <v>1.3126775819689205</v>
      </c>
      <c r="AL255" s="317">
        <f t="shared" si="402"/>
        <v>39.000000000000007</v>
      </c>
      <c r="AM255" s="147">
        <f t="shared" si="403"/>
        <v>227.88698253631355</v>
      </c>
      <c r="AO255">
        <f t="shared" si="381"/>
        <v>39.000000000000007</v>
      </c>
      <c r="AP255">
        <f t="shared" si="382"/>
        <v>227.88698253631355</v>
      </c>
      <c r="AR255" s="5">
        <f t="shared" si="343"/>
        <v>4.388140072198512</v>
      </c>
      <c r="AS255" s="5">
        <f t="shared" si="385"/>
        <v>2.1579623975574482</v>
      </c>
      <c r="AT255" s="5">
        <f t="shared" si="386"/>
        <v>2.2301776746410638</v>
      </c>
      <c r="AU255" s="153">
        <f t="shared" si="387"/>
        <v>0.49177153920619554</v>
      </c>
      <c r="CI255" s="59">
        <f t="shared" si="404"/>
        <v>-50</v>
      </c>
    </row>
    <row r="256" spans="5:87" x14ac:dyDescent="0.25">
      <c r="E256" s="150">
        <v>40</v>
      </c>
      <c r="F256" s="191">
        <f t="shared" si="405"/>
        <v>4.0000000000000008E-2</v>
      </c>
      <c r="G256" s="191">
        <f t="shared" si="388"/>
        <v>4.0000000000000008E-2</v>
      </c>
      <c r="H256" s="191">
        <f t="shared" si="389"/>
        <v>0.80000000000000016</v>
      </c>
      <c r="I256" s="191">
        <f t="shared" si="390"/>
        <v>0.64000000000000012</v>
      </c>
      <c r="J256" s="472">
        <f t="shared" si="356"/>
        <v>21</v>
      </c>
      <c r="K256" s="386">
        <f t="shared" si="357"/>
        <v>20.32</v>
      </c>
      <c r="L256" s="386">
        <f t="shared" si="358"/>
        <v>41.32</v>
      </c>
      <c r="M256" s="386"/>
      <c r="N256" s="191">
        <f t="shared" si="359"/>
        <v>0.49177153920619554</v>
      </c>
      <c r="O256" s="152">
        <f t="shared" si="391"/>
        <v>1.9363504356243948</v>
      </c>
      <c r="P256" s="152">
        <f t="shared" si="392"/>
        <v>2.7883446272991286</v>
      </c>
      <c r="Q256" s="191">
        <f t="shared" si="362"/>
        <v>9.6817521781219745E-2</v>
      </c>
      <c r="R256" s="191">
        <f t="shared" si="393"/>
        <v>0.12102190222652467</v>
      </c>
      <c r="S256" s="191">
        <f t="shared" si="394"/>
        <v>20</v>
      </c>
      <c r="T256" s="191">
        <f t="shared" si="395"/>
        <v>0.30986126734158237</v>
      </c>
      <c r="U256" s="191">
        <f t="shared" si="366"/>
        <v>2.2132947667255882</v>
      </c>
      <c r="V256" s="191">
        <f t="shared" si="367"/>
        <v>2.2873617175805783</v>
      </c>
      <c r="W256" s="175">
        <f t="shared" si="368"/>
        <v>350</v>
      </c>
      <c r="X256" s="386">
        <f t="shared" si="369"/>
        <v>222.18980797290573</v>
      </c>
      <c r="Z256" s="191">
        <f t="shared" si="370"/>
        <v>0.19670861568247827</v>
      </c>
      <c r="AA256" s="153">
        <f t="shared" si="371"/>
        <v>1.4520813165537272</v>
      </c>
      <c r="AB256" s="153">
        <f t="shared" si="396"/>
        <v>2.7770254714773877E-2</v>
      </c>
      <c r="AC256" s="153"/>
      <c r="AD256" s="153">
        <f t="shared" si="373"/>
        <v>1.1072834645669289</v>
      </c>
      <c r="AE256" s="317">
        <f t="shared" si="397"/>
        <v>481.65925925925939</v>
      </c>
      <c r="AF256" s="463">
        <f t="shared" si="398"/>
        <v>2.9066190944881887E-2</v>
      </c>
      <c r="AH256" s="153">
        <f t="shared" si="399"/>
        <v>0.23421601750764801</v>
      </c>
      <c r="AI256" s="153">
        <f t="shared" si="400"/>
        <v>0.30986126734158237</v>
      </c>
      <c r="AJ256" s="153">
        <f t="shared" si="401"/>
        <v>1.3184157535863572</v>
      </c>
      <c r="AL256" s="317">
        <f t="shared" si="402"/>
        <v>40.000000000000007</v>
      </c>
      <c r="AM256" s="147">
        <f t="shared" si="403"/>
        <v>222.18980797290573</v>
      </c>
      <c r="AO256">
        <f t="shared" si="381"/>
        <v>40.000000000000007</v>
      </c>
      <c r="AP256">
        <f t="shared" si="382"/>
        <v>222.18980797290573</v>
      </c>
      <c r="AR256" s="5">
        <f t="shared" si="343"/>
        <v>4.500656484306166</v>
      </c>
      <c r="AS256" s="5">
        <f t="shared" si="385"/>
        <v>2.2132947667255882</v>
      </c>
      <c r="AT256" s="5">
        <f t="shared" si="386"/>
        <v>2.2873617175805778</v>
      </c>
      <c r="AU256" s="153">
        <f t="shared" si="387"/>
        <v>0.4917715392061956</v>
      </c>
      <c r="CI256" s="59">
        <f t="shared" si="404"/>
        <v>-50</v>
      </c>
    </row>
    <row r="257" spans="5:87" x14ac:dyDescent="0.25">
      <c r="E257" s="150">
        <v>41</v>
      </c>
      <c r="F257" s="191">
        <f t="shared" si="405"/>
        <v>4.1000000000000002E-2</v>
      </c>
      <c r="G257" s="191">
        <f t="shared" si="388"/>
        <v>4.1000000000000002E-2</v>
      </c>
      <c r="H257" s="191">
        <f t="shared" si="389"/>
        <v>0.82000000000000006</v>
      </c>
      <c r="I257" s="191">
        <f t="shared" si="390"/>
        <v>0.65600000000000003</v>
      </c>
      <c r="J257" s="472">
        <f t="shared" si="356"/>
        <v>21</v>
      </c>
      <c r="K257" s="386">
        <f t="shared" si="357"/>
        <v>20.32</v>
      </c>
      <c r="L257" s="386">
        <f t="shared" si="358"/>
        <v>41.32</v>
      </c>
      <c r="M257" s="386"/>
      <c r="N257" s="191">
        <f t="shared" si="359"/>
        <v>0.49177153920619554</v>
      </c>
      <c r="O257" s="152">
        <f t="shared" si="391"/>
        <v>1.9363504356243948</v>
      </c>
      <c r="P257" s="152">
        <f t="shared" si="392"/>
        <v>2.7883446272991286</v>
      </c>
      <c r="Q257" s="191">
        <f t="shared" si="362"/>
        <v>9.6817521781219745E-2</v>
      </c>
      <c r="R257" s="191">
        <f t="shared" si="393"/>
        <v>0.12102190222652467</v>
      </c>
      <c r="S257" s="191">
        <f t="shared" si="394"/>
        <v>20</v>
      </c>
      <c r="T257" s="191">
        <f t="shared" si="395"/>
        <v>0.31760779902512182</v>
      </c>
      <c r="U257" s="191">
        <f t="shared" si="366"/>
        <v>2.2686271358937273</v>
      </c>
      <c r="V257" s="191">
        <f t="shared" si="367"/>
        <v>2.3445457605200919</v>
      </c>
      <c r="W257" s="175">
        <f t="shared" si="368"/>
        <v>350</v>
      </c>
      <c r="X257" s="386">
        <f t="shared" si="369"/>
        <v>216.7705443638105</v>
      </c>
      <c r="Z257" s="191">
        <f t="shared" si="370"/>
        <v>0.19670861568247827</v>
      </c>
      <c r="AA257" s="153">
        <f t="shared" si="371"/>
        <v>1.4520813165537272</v>
      </c>
      <c r="AB257" s="153">
        <f t="shared" si="396"/>
        <v>2.7770254714773877E-2</v>
      </c>
      <c r="AC257" s="153"/>
      <c r="AD257" s="153">
        <f t="shared" si="373"/>
        <v>1.1072834645669289</v>
      </c>
      <c r="AE257" s="317">
        <f t="shared" si="397"/>
        <v>493.7007407407408</v>
      </c>
      <c r="AF257" s="463">
        <f t="shared" si="398"/>
        <v>2.9066190944881887E-2</v>
      </c>
      <c r="AH257" s="153">
        <f t="shared" si="399"/>
        <v>0.23712564481424492</v>
      </c>
      <c r="AI257" s="153">
        <f t="shared" si="400"/>
        <v>0.31760779902512182</v>
      </c>
      <c r="AJ257" s="153">
        <f t="shared" si="401"/>
        <v>1.3241539252037939</v>
      </c>
      <c r="AL257" s="317">
        <f t="shared" si="402"/>
        <v>41</v>
      </c>
      <c r="AM257" s="147">
        <f t="shared" si="403"/>
        <v>216.7705443638105</v>
      </c>
      <c r="AO257">
        <f t="shared" si="381"/>
        <v>41</v>
      </c>
      <c r="AP257">
        <f t="shared" si="382"/>
        <v>216.7705443638105</v>
      </c>
      <c r="AR257" s="5">
        <f t="shared" si="343"/>
        <v>4.6131728964138192</v>
      </c>
      <c r="AS257" s="5">
        <f t="shared" si="385"/>
        <v>2.2686271358937273</v>
      </c>
      <c r="AT257" s="5">
        <f t="shared" si="386"/>
        <v>2.3445457605200919</v>
      </c>
      <c r="AU257" s="153">
        <f t="shared" si="387"/>
        <v>0.4917715392061956</v>
      </c>
      <c r="CI257" s="59">
        <f t="shared" si="404"/>
        <v>-50</v>
      </c>
    </row>
    <row r="258" spans="5:87" x14ac:dyDescent="0.25">
      <c r="E258" s="150">
        <v>42</v>
      </c>
      <c r="F258" s="191">
        <f t="shared" si="405"/>
        <v>4.2000000000000003E-2</v>
      </c>
      <c r="G258" s="191">
        <f t="shared" si="388"/>
        <v>4.2000000000000003E-2</v>
      </c>
      <c r="H258" s="191">
        <f t="shared" si="389"/>
        <v>0.84000000000000008</v>
      </c>
      <c r="I258" s="191">
        <f t="shared" si="390"/>
        <v>0.67200000000000004</v>
      </c>
      <c r="J258" s="472">
        <f t="shared" si="356"/>
        <v>21</v>
      </c>
      <c r="K258" s="386">
        <f t="shared" si="357"/>
        <v>20.32</v>
      </c>
      <c r="L258" s="386">
        <f t="shared" si="358"/>
        <v>41.32</v>
      </c>
      <c r="M258" s="386"/>
      <c r="N258" s="191">
        <f t="shared" si="359"/>
        <v>0.49177153920619554</v>
      </c>
      <c r="O258" s="152">
        <f t="shared" si="391"/>
        <v>1.9363504356243948</v>
      </c>
      <c r="P258" s="152">
        <f t="shared" si="392"/>
        <v>2.7883446272991286</v>
      </c>
      <c r="Q258" s="191">
        <f t="shared" si="362"/>
        <v>9.6817521781219745E-2</v>
      </c>
      <c r="R258" s="191">
        <f t="shared" si="393"/>
        <v>0.12102190222652467</v>
      </c>
      <c r="S258" s="191">
        <f t="shared" si="394"/>
        <v>20</v>
      </c>
      <c r="T258" s="191">
        <f t="shared" si="395"/>
        <v>0.32535433070866138</v>
      </c>
      <c r="U258" s="191">
        <f t="shared" si="366"/>
        <v>2.3239595050618669</v>
      </c>
      <c r="V258" s="191">
        <f t="shared" si="367"/>
        <v>2.4017298034596064</v>
      </c>
      <c r="W258" s="175">
        <f t="shared" si="368"/>
        <v>350</v>
      </c>
      <c r="X258" s="386">
        <f t="shared" si="369"/>
        <v>211.60934092657692</v>
      </c>
      <c r="Z258" s="191">
        <f t="shared" si="370"/>
        <v>0.19670861568247827</v>
      </c>
      <c r="AA258" s="153">
        <f t="shared" si="371"/>
        <v>1.4520813165537272</v>
      </c>
      <c r="AB258" s="153">
        <f t="shared" si="396"/>
        <v>2.7770254714773877E-2</v>
      </c>
      <c r="AC258" s="153"/>
      <c r="AD258" s="153">
        <f t="shared" si="373"/>
        <v>1.1072834645669289</v>
      </c>
      <c r="AE258" s="317">
        <f t="shared" si="397"/>
        <v>505.74222222222232</v>
      </c>
      <c r="AF258" s="463">
        <f t="shared" si="398"/>
        <v>2.9066190944881887E-2</v>
      </c>
      <c r="AH258" s="153">
        <f t="shared" si="399"/>
        <v>0.24000000000000002</v>
      </c>
      <c r="AI258" s="153">
        <f t="shared" si="400"/>
        <v>0.32535433070866138</v>
      </c>
      <c r="AJ258" s="153">
        <f t="shared" si="401"/>
        <v>1.3298920968212307</v>
      </c>
      <c r="AL258" s="317">
        <f t="shared" si="402"/>
        <v>42</v>
      </c>
      <c r="AM258" s="147">
        <f t="shared" si="403"/>
        <v>211.60934092657692</v>
      </c>
      <c r="AO258">
        <f t="shared" si="381"/>
        <v>42</v>
      </c>
      <c r="AP258">
        <f t="shared" si="382"/>
        <v>211.60934092657692</v>
      </c>
      <c r="AR258" s="5">
        <f t="shared" si="343"/>
        <v>4.7256893085214733</v>
      </c>
      <c r="AS258" s="5">
        <f t="shared" si="385"/>
        <v>2.3239595050618669</v>
      </c>
      <c r="AT258" s="5">
        <f t="shared" si="386"/>
        <v>2.4017298034596064</v>
      </c>
      <c r="AU258" s="153">
        <f t="shared" si="387"/>
        <v>0.49177153920619554</v>
      </c>
      <c r="CI258" s="59">
        <f t="shared" si="404"/>
        <v>-50</v>
      </c>
    </row>
    <row r="259" spans="5:87" x14ac:dyDescent="0.25">
      <c r="E259" s="150">
        <v>43</v>
      </c>
      <c r="F259" s="191">
        <f t="shared" si="405"/>
        <v>4.3000000000000003E-2</v>
      </c>
      <c r="G259" s="191">
        <f t="shared" si="388"/>
        <v>4.3000000000000003E-2</v>
      </c>
      <c r="H259" s="191">
        <f t="shared" si="389"/>
        <v>0.8600000000000001</v>
      </c>
      <c r="I259" s="191">
        <f t="shared" si="390"/>
        <v>0.68800000000000006</v>
      </c>
      <c r="J259" s="472">
        <f t="shared" si="356"/>
        <v>21</v>
      </c>
      <c r="K259" s="386">
        <f t="shared" si="357"/>
        <v>20.32</v>
      </c>
      <c r="L259" s="386">
        <f t="shared" si="358"/>
        <v>41.32</v>
      </c>
      <c r="M259" s="386"/>
      <c r="N259" s="191">
        <f t="shared" si="359"/>
        <v>0.49177153920619554</v>
      </c>
      <c r="O259" s="152">
        <f t="shared" si="391"/>
        <v>1.9363504356243948</v>
      </c>
      <c r="P259" s="152">
        <f t="shared" si="392"/>
        <v>2.7883446272991286</v>
      </c>
      <c r="Q259" s="191">
        <f t="shared" si="362"/>
        <v>9.6817521781219745E-2</v>
      </c>
      <c r="R259" s="191">
        <f t="shared" si="393"/>
        <v>0.12102190222652467</v>
      </c>
      <c r="S259" s="191">
        <f t="shared" si="394"/>
        <v>20</v>
      </c>
      <c r="T259" s="191">
        <f t="shared" si="395"/>
        <v>0.33310086239220094</v>
      </c>
      <c r="U259" s="191">
        <f t="shared" si="366"/>
        <v>2.3792918742300064</v>
      </c>
      <c r="V259" s="191">
        <f t="shared" si="367"/>
        <v>2.4589138463991209</v>
      </c>
      <c r="W259" s="175">
        <f t="shared" si="368"/>
        <v>350</v>
      </c>
      <c r="X259" s="386">
        <f t="shared" si="369"/>
        <v>206.68819346316818</v>
      </c>
      <c r="Z259" s="191">
        <f t="shared" si="370"/>
        <v>0.19670861568247827</v>
      </c>
      <c r="AA259" s="153">
        <f t="shared" si="371"/>
        <v>1.4520813165537272</v>
      </c>
      <c r="AB259" s="153">
        <f t="shared" si="396"/>
        <v>2.7770254714773877E-2</v>
      </c>
      <c r="AC259" s="153"/>
      <c r="AD259" s="153">
        <f t="shared" si="373"/>
        <v>1.1072834645669289</v>
      </c>
      <c r="AE259" s="317">
        <f t="shared" si="397"/>
        <v>517.78370370370374</v>
      </c>
      <c r="AF259" s="463">
        <f t="shared" si="398"/>
        <v>2.9066190944881887E-2</v>
      </c>
      <c r="AH259" s="153">
        <f t="shared" si="399"/>
        <v>0.24284033555286605</v>
      </c>
      <c r="AI259" s="153">
        <f t="shared" si="400"/>
        <v>0.33310086239220094</v>
      </c>
      <c r="AJ259" s="153">
        <f t="shared" si="401"/>
        <v>1.3356302684386674</v>
      </c>
      <c r="AL259" s="317">
        <f t="shared" si="402"/>
        <v>43</v>
      </c>
      <c r="AM259" s="147">
        <f t="shared" si="403"/>
        <v>206.68819346316818</v>
      </c>
      <c r="AO259">
        <f t="shared" si="381"/>
        <v>43</v>
      </c>
      <c r="AP259">
        <f t="shared" si="382"/>
        <v>206.68819346316818</v>
      </c>
      <c r="AR259" s="5">
        <f t="shared" si="343"/>
        <v>4.8382057206291265</v>
      </c>
      <c r="AS259" s="5">
        <f t="shared" si="385"/>
        <v>2.3792918742300064</v>
      </c>
      <c r="AT259" s="5">
        <f t="shared" si="386"/>
        <v>2.45891384639912</v>
      </c>
      <c r="AU259" s="153">
        <f t="shared" si="387"/>
        <v>0.49177153920619565</v>
      </c>
      <c r="CI259" s="59">
        <f t="shared" si="404"/>
        <v>-50</v>
      </c>
    </row>
    <row r="260" spans="5:87" x14ac:dyDescent="0.25">
      <c r="E260" s="150">
        <v>44</v>
      </c>
      <c r="F260" s="191">
        <f t="shared" si="405"/>
        <v>4.4000000000000004E-2</v>
      </c>
      <c r="G260" s="191">
        <f t="shared" si="388"/>
        <v>4.4000000000000004E-2</v>
      </c>
      <c r="H260" s="191">
        <f t="shared" si="389"/>
        <v>0.88000000000000012</v>
      </c>
      <c r="I260" s="191">
        <f t="shared" si="390"/>
        <v>0.70400000000000007</v>
      </c>
      <c r="J260" s="472">
        <f t="shared" si="356"/>
        <v>21</v>
      </c>
      <c r="K260" s="386">
        <f t="shared" si="357"/>
        <v>20.32</v>
      </c>
      <c r="L260" s="386">
        <f t="shared" si="358"/>
        <v>41.32</v>
      </c>
      <c r="M260" s="386"/>
      <c r="N260" s="191">
        <f t="shared" si="359"/>
        <v>0.49177153920619554</v>
      </c>
      <c r="O260" s="152">
        <f t="shared" si="391"/>
        <v>1.9363504356243948</v>
      </c>
      <c r="P260" s="152">
        <f t="shared" si="392"/>
        <v>2.7883446272991286</v>
      </c>
      <c r="Q260" s="191">
        <f t="shared" si="362"/>
        <v>9.6817521781219745E-2</v>
      </c>
      <c r="R260" s="191">
        <f t="shared" si="393"/>
        <v>0.12102190222652467</v>
      </c>
      <c r="S260" s="191">
        <f t="shared" si="394"/>
        <v>20</v>
      </c>
      <c r="T260" s="191">
        <f t="shared" si="395"/>
        <v>0.34084739407574055</v>
      </c>
      <c r="U260" s="191">
        <f t="shared" si="366"/>
        <v>2.4346242433981464</v>
      </c>
      <c r="V260" s="191">
        <f t="shared" si="367"/>
        <v>2.5160978893386359</v>
      </c>
      <c r="W260" s="175">
        <f t="shared" si="368"/>
        <v>350</v>
      </c>
      <c r="X260" s="386">
        <f t="shared" si="369"/>
        <v>201.99073452082339</v>
      </c>
      <c r="Z260" s="191">
        <f t="shared" si="370"/>
        <v>0.19670861568247827</v>
      </c>
      <c r="AA260" s="153">
        <f t="shared" si="371"/>
        <v>1.4520813165537272</v>
      </c>
      <c r="AB260" s="153">
        <f t="shared" si="396"/>
        <v>2.7770254714773877E-2</v>
      </c>
      <c r="AC260" s="153"/>
      <c r="AD260" s="153">
        <f t="shared" si="373"/>
        <v>1.1072834645669289</v>
      </c>
      <c r="AE260" s="317">
        <f t="shared" si="397"/>
        <v>529.82518518518532</v>
      </c>
      <c r="AF260" s="463">
        <f t="shared" si="398"/>
        <v>2.9066190944881887E-2</v>
      </c>
      <c r="AH260" s="153">
        <f t="shared" si="399"/>
        <v>0.24564783154519634</v>
      </c>
      <c r="AI260" s="153">
        <f t="shared" si="400"/>
        <v>0.34084739407574055</v>
      </c>
      <c r="AJ260" s="153">
        <f t="shared" si="401"/>
        <v>1.3413684400561041</v>
      </c>
      <c r="AL260" s="317">
        <f t="shared" si="402"/>
        <v>44.000000000000007</v>
      </c>
      <c r="AM260" s="147">
        <f t="shared" si="403"/>
        <v>201.99073452082339</v>
      </c>
      <c r="AO260">
        <f t="shared" si="381"/>
        <v>44.000000000000007</v>
      </c>
      <c r="AP260">
        <f t="shared" si="382"/>
        <v>201.99073452082339</v>
      </c>
      <c r="AR260" s="5">
        <f t="shared" si="343"/>
        <v>4.9507221327367823</v>
      </c>
      <c r="AS260" s="5">
        <f t="shared" si="385"/>
        <v>2.4346242433981464</v>
      </c>
      <c r="AT260" s="5">
        <f t="shared" si="386"/>
        <v>2.5160978893386359</v>
      </c>
      <c r="AU260" s="153">
        <f t="shared" si="387"/>
        <v>0.49177153920619554</v>
      </c>
      <c r="CI260" s="59">
        <f t="shared" si="404"/>
        <v>-50</v>
      </c>
    </row>
    <row r="261" spans="5:87" x14ac:dyDescent="0.25">
      <c r="E261" s="150">
        <v>45</v>
      </c>
      <c r="F261" s="191">
        <f t="shared" si="405"/>
        <v>4.5000000000000005E-2</v>
      </c>
      <c r="G261" s="191">
        <f t="shared" si="388"/>
        <v>4.5000000000000005E-2</v>
      </c>
      <c r="H261" s="191">
        <f t="shared" si="389"/>
        <v>0.90000000000000013</v>
      </c>
      <c r="I261" s="191">
        <f t="shared" si="390"/>
        <v>0.72000000000000008</v>
      </c>
      <c r="J261" s="472">
        <f t="shared" si="356"/>
        <v>21</v>
      </c>
      <c r="K261" s="386">
        <f t="shared" si="357"/>
        <v>20.32</v>
      </c>
      <c r="L261" s="386">
        <f t="shared" si="358"/>
        <v>41.32</v>
      </c>
      <c r="M261" s="386"/>
      <c r="N261" s="191">
        <f t="shared" si="359"/>
        <v>0.49177153920619554</v>
      </c>
      <c r="O261" s="152">
        <f t="shared" si="391"/>
        <v>1.9363504356243948</v>
      </c>
      <c r="P261" s="152">
        <f t="shared" si="392"/>
        <v>2.7883446272991286</v>
      </c>
      <c r="Q261" s="191">
        <f t="shared" si="362"/>
        <v>9.6817521781219745E-2</v>
      </c>
      <c r="R261" s="191">
        <f t="shared" si="393"/>
        <v>0.12102190222652467</v>
      </c>
      <c r="S261" s="191">
        <f t="shared" si="394"/>
        <v>20</v>
      </c>
      <c r="T261" s="191">
        <f t="shared" si="395"/>
        <v>0.34859392575928011</v>
      </c>
      <c r="U261" s="191">
        <f t="shared" si="366"/>
        <v>2.4899566125662864</v>
      </c>
      <c r="V261" s="191">
        <f t="shared" si="367"/>
        <v>2.5732819322781504</v>
      </c>
      <c r="W261" s="175">
        <f t="shared" si="368"/>
        <v>350</v>
      </c>
      <c r="X261" s="386">
        <f t="shared" si="369"/>
        <v>197.50205153147178</v>
      </c>
      <c r="Z261" s="191">
        <f t="shared" si="370"/>
        <v>0.19670861568247827</v>
      </c>
      <c r="AA261" s="153">
        <f t="shared" si="371"/>
        <v>1.4520813165537272</v>
      </c>
      <c r="AB261" s="153">
        <f t="shared" si="396"/>
        <v>2.7770254714773877E-2</v>
      </c>
      <c r="AC261" s="153"/>
      <c r="AD261" s="153">
        <f t="shared" si="373"/>
        <v>1.1072834645669289</v>
      </c>
      <c r="AE261" s="317">
        <f t="shared" si="397"/>
        <v>541.86666666666679</v>
      </c>
      <c r="AF261" s="463">
        <f t="shared" si="398"/>
        <v>2.9066190944881887E-2</v>
      </c>
      <c r="AH261" s="153">
        <f t="shared" si="399"/>
        <v>0.24842360136324754</v>
      </c>
      <c r="AI261" s="153">
        <f t="shared" si="400"/>
        <v>0.34859392575928011</v>
      </c>
      <c r="AJ261" s="153">
        <f t="shared" si="401"/>
        <v>1.3471066116735408</v>
      </c>
      <c r="AL261" s="317">
        <f t="shared" si="402"/>
        <v>45.000000000000007</v>
      </c>
      <c r="AM261" s="147">
        <f t="shared" si="403"/>
        <v>197.50205153147178</v>
      </c>
      <c r="AO261">
        <f t="shared" si="381"/>
        <v>45.000000000000007</v>
      </c>
      <c r="AP261">
        <f t="shared" si="382"/>
        <v>197.50205153147178</v>
      </c>
      <c r="AR261" s="5">
        <f t="shared" si="343"/>
        <v>5.0632385448444364</v>
      </c>
      <c r="AS261" s="5">
        <f t="shared" si="385"/>
        <v>2.4899566125662864</v>
      </c>
      <c r="AT261" s="5">
        <f t="shared" si="386"/>
        <v>2.5732819322781499</v>
      </c>
      <c r="AU261" s="153">
        <f t="shared" si="387"/>
        <v>0.4917715392061956</v>
      </c>
      <c r="CI261" s="59">
        <f t="shared" si="404"/>
        <v>-50</v>
      </c>
    </row>
    <row r="262" spans="5:87" x14ac:dyDescent="0.25">
      <c r="E262" s="150">
        <v>46</v>
      </c>
      <c r="F262" s="191">
        <f t="shared" si="405"/>
        <v>4.6000000000000006E-2</v>
      </c>
      <c r="G262" s="191">
        <f t="shared" si="388"/>
        <v>4.6000000000000006E-2</v>
      </c>
      <c r="H262" s="191">
        <f t="shared" si="389"/>
        <v>0.92000000000000015</v>
      </c>
      <c r="I262" s="191">
        <f t="shared" si="390"/>
        <v>0.7360000000000001</v>
      </c>
      <c r="J262" s="472">
        <f t="shared" si="356"/>
        <v>21</v>
      </c>
      <c r="K262" s="386">
        <f t="shared" si="357"/>
        <v>20.32</v>
      </c>
      <c r="L262" s="386">
        <f t="shared" si="358"/>
        <v>41.32</v>
      </c>
      <c r="M262" s="386"/>
      <c r="N262" s="191">
        <f t="shared" si="359"/>
        <v>0.49177153920619554</v>
      </c>
      <c r="O262" s="152">
        <f t="shared" si="391"/>
        <v>1.9363504356243948</v>
      </c>
      <c r="P262" s="152">
        <f t="shared" si="392"/>
        <v>2.7883446272991286</v>
      </c>
      <c r="Q262" s="191">
        <f t="shared" si="362"/>
        <v>9.6817521781219745E-2</v>
      </c>
      <c r="R262" s="191">
        <f t="shared" si="393"/>
        <v>0.12102190222652467</v>
      </c>
      <c r="S262" s="191">
        <f t="shared" si="394"/>
        <v>20</v>
      </c>
      <c r="T262" s="191">
        <f t="shared" si="395"/>
        <v>0.35634045744281967</v>
      </c>
      <c r="U262" s="191">
        <f t="shared" si="366"/>
        <v>2.545288981734426</v>
      </c>
      <c r="V262" s="191">
        <f t="shared" si="367"/>
        <v>2.6304659752176645</v>
      </c>
      <c r="W262" s="175">
        <f t="shared" si="368"/>
        <v>350</v>
      </c>
      <c r="X262" s="386">
        <f t="shared" si="369"/>
        <v>193.20852867209194</v>
      </c>
      <c r="Z262" s="191">
        <f t="shared" si="370"/>
        <v>0.19670861568247827</v>
      </c>
      <c r="AA262" s="153">
        <f t="shared" si="371"/>
        <v>1.4520813165537272</v>
      </c>
      <c r="AB262" s="153">
        <f t="shared" si="396"/>
        <v>2.7770254714773877E-2</v>
      </c>
      <c r="AC262" s="153"/>
      <c r="AD262" s="153">
        <f t="shared" si="373"/>
        <v>1.1072834645669289</v>
      </c>
      <c r="AE262" s="317">
        <f t="shared" si="397"/>
        <v>553.90814814814837</v>
      </c>
      <c r="AF262" s="463">
        <f t="shared" si="398"/>
        <v>2.9066190944881887E-2</v>
      </c>
      <c r="AH262" s="153">
        <f t="shared" si="399"/>
        <v>0.25116869686669613</v>
      </c>
      <c r="AI262" s="153">
        <f t="shared" si="400"/>
        <v>0.35634045744281967</v>
      </c>
      <c r="AJ262" s="153">
        <f t="shared" si="401"/>
        <v>1.3528447832909776</v>
      </c>
      <c r="AL262" s="317">
        <f t="shared" si="402"/>
        <v>46.000000000000007</v>
      </c>
      <c r="AM262" s="147">
        <f t="shared" si="403"/>
        <v>193.20852867209194</v>
      </c>
      <c r="AO262">
        <f t="shared" si="381"/>
        <v>46.000000000000007</v>
      </c>
      <c r="AP262">
        <f t="shared" si="382"/>
        <v>193.20852867209194</v>
      </c>
      <c r="AR262" s="5">
        <f t="shared" si="343"/>
        <v>5.1757549569520904</v>
      </c>
      <c r="AS262" s="5">
        <f t="shared" si="385"/>
        <v>2.545288981734426</v>
      </c>
      <c r="AT262" s="5">
        <f t="shared" si="386"/>
        <v>2.6304659752176645</v>
      </c>
      <c r="AU262" s="153">
        <f t="shared" si="387"/>
        <v>0.49177153920619554</v>
      </c>
      <c r="CI262" s="59">
        <f t="shared" si="404"/>
        <v>-50</v>
      </c>
    </row>
    <row r="263" spans="5:87" x14ac:dyDescent="0.25">
      <c r="E263" s="150">
        <v>47</v>
      </c>
      <c r="F263" s="191">
        <f t="shared" si="405"/>
        <v>4.7E-2</v>
      </c>
      <c r="G263" s="191">
        <f t="shared" si="388"/>
        <v>4.7E-2</v>
      </c>
      <c r="H263" s="191">
        <f t="shared" si="389"/>
        <v>0.94</v>
      </c>
      <c r="I263" s="191">
        <f t="shared" si="390"/>
        <v>0.752</v>
      </c>
      <c r="J263" s="472">
        <f t="shared" si="356"/>
        <v>21</v>
      </c>
      <c r="K263" s="386">
        <f t="shared" si="357"/>
        <v>20.32</v>
      </c>
      <c r="L263" s="386">
        <f t="shared" si="358"/>
        <v>41.32</v>
      </c>
      <c r="M263" s="386"/>
      <c r="N263" s="191">
        <f t="shared" si="359"/>
        <v>0.49177153920619554</v>
      </c>
      <c r="O263" s="152">
        <f t="shared" si="391"/>
        <v>1.9363504356243948</v>
      </c>
      <c r="P263" s="152">
        <f t="shared" si="392"/>
        <v>2.7883446272991286</v>
      </c>
      <c r="Q263" s="191">
        <f t="shared" si="362"/>
        <v>9.6817521781219745E-2</v>
      </c>
      <c r="R263" s="191">
        <f t="shared" si="393"/>
        <v>0.12102190222652467</v>
      </c>
      <c r="S263" s="191">
        <f t="shared" si="394"/>
        <v>20</v>
      </c>
      <c r="T263" s="191">
        <f t="shared" si="395"/>
        <v>0.36408698912635917</v>
      </c>
      <c r="U263" s="191">
        <f t="shared" si="366"/>
        <v>2.6006213509025651</v>
      </c>
      <c r="V263" s="191">
        <f t="shared" si="367"/>
        <v>2.6876500181571785</v>
      </c>
      <c r="W263" s="175">
        <f t="shared" si="368"/>
        <v>350</v>
      </c>
      <c r="X263" s="386">
        <f t="shared" si="369"/>
        <v>189.09770891311132</v>
      </c>
      <c r="Z263" s="191">
        <f t="shared" si="370"/>
        <v>0.19670861568247827</v>
      </c>
      <c r="AA263" s="153">
        <f t="shared" si="371"/>
        <v>1.4520813165537272</v>
      </c>
      <c r="AB263" s="153">
        <f t="shared" si="396"/>
        <v>2.7770254714773877E-2</v>
      </c>
      <c r="AC263" s="153"/>
      <c r="AD263" s="153">
        <f t="shared" si="373"/>
        <v>1.1072834645669289</v>
      </c>
      <c r="AE263" s="317">
        <f t="shared" si="397"/>
        <v>565.94962962962961</v>
      </c>
      <c r="AF263" s="463">
        <f t="shared" si="398"/>
        <v>2.9066190944881887E-2</v>
      </c>
      <c r="AH263" s="153">
        <f t="shared" si="399"/>
        <v>0.25388411304597786</v>
      </c>
      <c r="AI263" s="153">
        <f t="shared" si="400"/>
        <v>0.36408698912635917</v>
      </c>
      <c r="AJ263" s="153">
        <f t="shared" si="401"/>
        <v>1.3585829549084141</v>
      </c>
      <c r="AL263" s="317">
        <f t="shared" si="402"/>
        <v>47</v>
      </c>
      <c r="AM263" s="147">
        <f t="shared" si="403"/>
        <v>189.09770891311132</v>
      </c>
      <c r="AO263">
        <f t="shared" si="381"/>
        <v>47</v>
      </c>
      <c r="AP263">
        <f t="shared" si="382"/>
        <v>189.09770891311132</v>
      </c>
      <c r="AR263" s="5">
        <f t="shared" ref="AR263:AR316" si="406">1/AM263*1000</f>
        <v>5.2882713690597436</v>
      </c>
      <c r="AS263" s="5">
        <f t="shared" si="385"/>
        <v>2.6006213509025651</v>
      </c>
      <c r="AT263" s="5">
        <f t="shared" si="386"/>
        <v>2.6876500181571785</v>
      </c>
      <c r="AU263" s="153">
        <f t="shared" si="387"/>
        <v>0.49177153920619554</v>
      </c>
      <c r="CI263" s="59">
        <f t="shared" si="404"/>
        <v>-50</v>
      </c>
    </row>
    <row r="264" spans="5:87" x14ac:dyDescent="0.25">
      <c r="E264" s="150">
        <v>48</v>
      </c>
      <c r="F264" s="191">
        <f t="shared" si="405"/>
        <v>4.8000000000000001E-2</v>
      </c>
      <c r="G264" s="191">
        <f t="shared" si="388"/>
        <v>4.8000000000000001E-2</v>
      </c>
      <c r="H264" s="191">
        <f t="shared" si="389"/>
        <v>0.96</v>
      </c>
      <c r="I264" s="191">
        <f t="shared" si="390"/>
        <v>0.76800000000000002</v>
      </c>
      <c r="J264" s="472">
        <f t="shared" si="356"/>
        <v>21</v>
      </c>
      <c r="K264" s="386">
        <f t="shared" si="357"/>
        <v>20.32</v>
      </c>
      <c r="L264" s="386">
        <f t="shared" si="358"/>
        <v>41.32</v>
      </c>
      <c r="M264" s="386"/>
      <c r="N264" s="191">
        <f t="shared" si="359"/>
        <v>0.49177153920619554</v>
      </c>
      <c r="O264" s="152">
        <f t="shared" si="391"/>
        <v>1.9363504356243948</v>
      </c>
      <c r="P264" s="152">
        <f t="shared" si="392"/>
        <v>2.7883446272991286</v>
      </c>
      <c r="Q264" s="191">
        <f t="shared" si="362"/>
        <v>9.6817521781219745E-2</v>
      </c>
      <c r="R264" s="191">
        <f t="shared" si="393"/>
        <v>0.12102190222652467</v>
      </c>
      <c r="S264" s="191">
        <f t="shared" si="394"/>
        <v>20</v>
      </c>
      <c r="T264" s="191">
        <f t="shared" si="395"/>
        <v>0.37183352080989873</v>
      </c>
      <c r="U264" s="191">
        <f t="shared" si="366"/>
        <v>2.6559537200707046</v>
      </c>
      <c r="V264" s="191">
        <f t="shared" si="367"/>
        <v>2.744834061096693</v>
      </c>
      <c r="W264" s="175">
        <f t="shared" si="368"/>
        <v>350</v>
      </c>
      <c r="X264" s="386">
        <f t="shared" si="369"/>
        <v>185.15817331075482</v>
      </c>
      <c r="Z264" s="191">
        <f t="shared" si="370"/>
        <v>0.19670861568247827</v>
      </c>
      <c r="AA264" s="153">
        <f t="shared" si="371"/>
        <v>1.4520813165537272</v>
      </c>
      <c r="AB264" s="153">
        <f t="shared" si="396"/>
        <v>2.7770254714773877E-2</v>
      </c>
      <c r="AC264" s="153"/>
      <c r="AD264" s="153">
        <f t="shared" si="373"/>
        <v>1.1072834645669289</v>
      </c>
      <c r="AE264" s="317">
        <f t="shared" si="397"/>
        <v>577.99111111111108</v>
      </c>
      <c r="AF264" s="463">
        <f t="shared" si="398"/>
        <v>2.9066190944881887E-2</v>
      </c>
      <c r="AH264" s="153">
        <f t="shared" si="399"/>
        <v>0.25657079223592744</v>
      </c>
      <c r="AI264" s="153">
        <f t="shared" si="400"/>
        <v>0.37183352080989873</v>
      </c>
      <c r="AJ264" s="153">
        <f t="shared" si="401"/>
        <v>1.3643211265258508</v>
      </c>
      <c r="AL264" s="317">
        <f t="shared" si="402"/>
        <v>48</v>
      </c>
      <c r="AM264" s="147">
        <f t="shared" si="403"/>
        <v>185.15817331075482</v>
      </c>
      <c r="AO264">
        <f t="shared" si="381"/>
        <v>48</v>
      </c>
      <c r="AP264">
        <f t="shared" si="382"/>
        <v>185.15817331075482</v>
      </c>
      <c r="AR264" s="5">
        <f t="shared" si="406"/>
        <v>5.4007877811673977</v>
      </c>
      <c r="AS264" s="5">
        <f t="shared" si="385"/>
        <v>2.6559537200707046</v>
      </c>
      <c r="AT264" s="5">
        <f t="shared" si="386"/>
        <v>2.744834061096693</v>
      </c>
      <c r="AU264" s="153">
        <f t="shared" si="387"/>
        <v>0.49177153920619554</v>
      </c>
      <c r="CI264" s="59">
        <f t="shared" si="404"/>
        <v>-50</v>
      </c>
    </row>
    <row r="265" spans="5:87" x14ac:dyDescent="0.25">
      <c r="E265" s="150">
        <v>49</v>
      </c>
      <c r="F265" s="191">
        <f t="shared" si="405"/>
        <v>4.9000000000000002E-2</v>
      </c>
      <c r="G265" s="191">
        <f t="shared" si="388"/>
        <v>4.9000000000000002E-2</v>
      </c>
      <c r="H265" s="191">
        <f t="shared" si="389"/>
        <v>0.98</v>
      </c>
      <c r="I265" s="191">
        <f t="shared" si="390"/>
        <v>0.78400000000000003</v>
      </c>
      <c r="J265" s="472">
        <f t="shared" si="356"/>
        <v>21</v>
      </c>
      <c r="K265" s="386">
        <f t="shared" si="357"/>
        <v>20.32</v>
      </c>
      <c r="L265" s="386">
        <f t="shared" si="358"/>
        <v>41.32</v>
      </c>
      <c r="M265" s="386"/>
      <c r="N265" s="191">
        <f t="shared" si="359"/>
        <v>0.49177153920619554</v>
      </c>
      <c r="O265" s="152">
        <f t="shared" si="391"/>
        <v>1.9363504356243948</v>
      </c>
      <c r="P265" s="152">
        <f t="shared" si="392"/>
        <v>2.7883446272991286</v>
      </c>
      <c r="Q265" s="191">
        <f t="shared" si="362"/>
        <v>9.6817521781219745E-2</v>
      </c>
      <c r="R265" s="191">
        <f t="shared" si="393"/>
        <v>0.12102190222652467</v>
      </c>
      <c r="S265" s="191">
        <f t="shared" si="394"/>
        <v>20</v>
      </c>
      <c r="T265" s="191">
        <f t="shared" si="395"/>
        <v>0.37958005249343829</v>
      </c>
      <c r="U265" s="191">
        <f t="shared" si="366"/>
        <v>2.7112860892388446</v>
      </c>
      <c r="V265" s="191">
        <f t="shared" si="367"/>
        <v>2.8020181040362071</v>
      </c>
      <c r="W265" s="175">
        <f t="shared" si="368"/>
        <v>350</v>
      </c>
      <c r="X265" s="386">
        <f t="shared" si="369"/>
        <v>181.3794350799231</v>
      </c>
      <c r="Z265" s="191">
        <f t="shared" si="370"/>
        <v>0.19670861568247827</v>
      </c>
      <c r="AA265" s="153">
        <f t="shared" si="371"/>
        <v>1.4520813165537272</v>
      </c>
      <c r="AB265" s="153">
        <f t="shared" si="396"/>
        <v>2.7770254714773877E-2</v>
      </c>
      <c r="AC265" s="153"/>
      <c r="AD265" s="153">
        <f t="shared" si="373"/>
        <v>1.1072834645669289</v>
      </c>
      <c r="AE265" s="317">
        <f t="shared" si="397"/>
        <v>590.03259259259266</v>
      </c>
      <c r="AF265" s="463">
        <f t="shared" si="398"/>
        <v>2.9066190944881887E-2</v>
      </c>
      <c r="AH265" s="153">
        <f t="shared" si="399"/>
        <v>0.25922962793631443</v>
      </c>
      <c r="AI265" s="153">
        <f t="shared" si="400"/>
        <v>0.37958005249343829</v>
      </c>
      <c r="AJ265" s="153">
        <f t="shared" si="401"/>
        <v>1.3700592981432875</v>
      </c>
      <c r="AL265" s="317">
        <f t="shared" si="402"/>
        <v>49</v>
      </c>
      <c r="AM265" s="147">
        <f t="shared" si="403"/>
        <v>181.3794350799231</v>
      </c>
      <c r="AO265">
        <f t="shared" si="381"/>
        <v>49</v>
      </c>
      <c r="AP265">
        <f t="shared" si="382"/>
        <v>181.3794350799231</v>
      </c>
      <c r="AR265" s="5">
        <f t="shared" si="406"/>
        <v>5.5133041932750517</v>
      </c>
      <c r="AS265" s="5">
        <f t="shared" si="385"/>
        <v>2.7112860892388446</v>
      </c>
      <c r="AT265" s="5">
        <f t="shared" si="386"/>
        <v>2.8020181040362071</v>
      </c>
      <c r="AU265" s="153">
        <f t="shared" si="387"/>
        <v>0.4917715392061956</v>
      </c>
      <c r="CI265" s="59">
        <f t="shared" si="404"/>
        <v>-50</v>
      </c>
    </row>
    <row r="266" spans="5:87" x14ac:dyDescent="0.25">
      <c r="E266" s="150">
        <v>50</v>
      </c>
      <c r="F266" s="191">
        <f t="shared" si="405"/>
        <v>0.05</v>
      </c>
      <c r="G266" s="191">
        <f t="shared" si="388"/>
        <v>0.05</v>
      </c>
      <c r="H266" s="191">
        <f t="shared" si="389"/>
        <v>1</v>
      </c>
      <c r="I266" s="191">
        <f t="shared" si="390"/>
        <v>0.8</v>
      </c>
      <c r="J266" s="472">
        <f t="shared" si="356"/>
        <v>21</v>
      </c>
      <c r="K266" s="386">
        <f t="shared" si="357"/>
        <v>20.32</v>
      </c>
      <c r="L266" s="386">
        <f t="shared" si="358"/>
        <v>41.32</v>
      </c>
      <c r="M266" s="386"/>
      <c r="N266" s="191">
        <f t="shared" si="359"/>
        <v>0.49177153920619554</v>
      </c>
      <c r="O266" s="152">
        <f t="shared" si="391"/>
        <v>1.9363504356243948</v>
      </c>
      <c r="P266" s="152">
        <f t="shared" si="392"/>
        <v>2.7883446272991286</v>
      </c>
      <c r="Q266" s="191">
        <f t="shared" si="362"/>
        <v>9.6817521781219745E-2</v>
      </c>
      <c r="R266" s="191">
        <f t="shared" si="393"/>
        <v>0.12102190222652467</v>
      </c>
      <c r="S266" s="191">
        <f t="shared" si="394"/>
        <v>20</v>
      </c>
      <c r="T266" s="191">
        <f t="shared" si="395"/>
        <v>0.38732658417697785</v>
      </c>
      <c r="U266" s="191">
        <f t="shared" si="366"/>
        <v>2.7666184584069842</v>
      </c>
      <c r="V266" s="191">
        <f t="shared" si="367"/>
        <v>2.8592021469757221</v>
      </c>
      <c r="W266" s="175">
        <f t="shared" si="368"/>
        <v>350</v>
      </c>
      <c r="X266" s="386">
        <f t="shared" si="369"/>
        <v>177.75184637832461</v>
      </c>
      <c r="Z266" s="191">
        <f t="shared" si="370"/>
        <v>0.19670861568247827</v>
      </c>
      <c r="AA266" s="153">
        <f t="shared" si="371"/>
        <v>1.4520813165537272</v>
      </c>
      <c r="AB266" s="153">
        <f t="shared" si="396"/>
        <v>2.7770254714773877E-2</v>
      </c>
      <c r="AC266" s="153"/>
      <c r="AD266" s="153">
        <f t="shared" si="373"/>
        <v>1.1072834645669289</v>
      </c>
      <c r="AE266" s="317">
        <f t="shared" si="397"/>
        <v>602.07407407407413</v>
      </c>
      <c r="AF266" s="463">
        <f t="shared" si="398"/>
        <v>2.9066190944881887E-2</v>
      </c>
      <c r="AH266" s="153">
        <f t="shared" si="399"/>
        <v>0.2618614682831909</v>
      </c>
      <c r="AI266" s="153">
        <f t="shared" si="400"/>
        <v>0.38732658417697785</v>
      </c>
      <c r="AJ266" s="153">
        <f t="shared" si="401"/>
        <v>1.3757974697607243</v>
      </c>
      <c r="AL266" s="317">
        <f t="shared" si="402"/>
        <v>50</v>
      </c>
      <c r="AM266" s="147">
        <f t="shared" si="403"/>
        <v>177.75184637832461</v>
      </c>
      <c r="AO266">
        <f t="shared" si="381"/>
        <v>50</v>
      </c>
      <c r="AP266">
        <f t="shared" si="382"/>
        <v>177.75184637832461</v>
      </c>
      <c r="AR266" s="5">
        <f t="shared" si="406"/>
        <v>5.6258206053827058</v>
      </c>
      <c r="AS266" s="5">
        <f t="shared" si="385"/>
        <v>2.7666184584069842</v>
      </c>
      <c r="AT266" s="5">
        <f t="shared" si="386"/>
        <v>2.8592021469757216</v>
      </c>
      <c r="AU266" s="153">
        <f t="shared" si="387"/>
        <v>0.49177153920619554</v>
      </c>
      <c r="CI266" s="59">
        <f t="shared" si="404"/>
        <v>-50</v>
      </c>
    </row>
    <row r="267" spans="5:87" x14ac:dyDescent="0.25">
      <c r="E267" s="150">
        <v>51</v>
      </c>
      <c r="F267" s="191">
        <f t="shared" si="405"/>
        <v>5.1000000000000004E-2</v>
      </c>
      <c r="G267" s="191">
        <f t="shared" si="388"/>
        <v>5.1000000000000004E-2</v>
      </c>
      <c r="H267" s="191">
        <f t="shared" si="389"/>
        <v>1.02</v>
      </c>
      <c r="I267" s="191">
        <f t="shared" si="390"/>
        <v>0.81600000000000006</v>
      </c>
      <c r="J267" s="472">
        <f t="shared" si="356"/>
        <v>21</v>
      </c>
      <c r="K267" s="386">
        <f t="shared" si="357"/>
        <v>20.32</v>
      </c>
      <c r="L267" s="386">
        <f t="shared" si="358"/>
        <v>41.32</v>
      </c>
      <c r="M267" s="386"/>
      <c r="N267" s="191">
        <f t="shared" si="359"/>
        <v>0.49177153920619554</v>
      </c>
      <c r="O267" s="152">
        <f t="shared" si="391"/>
        <v>1.9363504356243948</v>
      </c>
      <c r="P267" s="152">
        <f t="shared" si="392"/>
        <v>2.7883446272991286</v>
      </c>
      <c r="Q267" s="191">
        <f t="shared" si="362"/>
        <v>9.6817521781219745E-2</v>
      </c>
      <c r="R267" s="191">
        <f t="shared" si="393"/>
        <v>0.12102190222652467</v>
      </c>
      <c r="S267" s="191">
        <f t="shared" si="394"/>
        <v>20</v>
      </c>
      <c r="T267" s="191">
        <f t="shared" si="395"/>
        <v>0.39507311586051741</v>
      </c>
      <c r="U267" s="191">
        <f t="shared" si="366"/>
        <v>2.8219508275751242</v>
      </c>
      <c r="V267" s="191">
        <f t="shared" si="367"/>
        <v>2.9163861899152366</v>
      </c>
      <c r="W267" s="175">
        <f t="shared" si="368"/>
        <v>350</v>
      </c>
      <c r="X267" s="386">
        <f t="shared" si="369"/>
        <v>174.26651605718098</v>
      </c>
      <c r="Z267" s="191">
        <f t="shared" si="370"/>
        <v>0.19670861568247827</v>
      </c>
      <c r="AA267" s="153">
        <f t="shared" si="371"/>
        <v>1.4520813165537272</v>
      </c>
      <c r="AB267" s="153">
        <f t="shared" si="396"/>
        <v>2.7770254714773877E-2</v>
      </c>
      <c r="AC267" s="153"/>
      <c r="AD267" s="153">
        <f t="shared" si="373"/>
        <v>1.1072834645669289</v>
      </c>
      <c r="AE267" s="317">
        <f t="shared" si="397"/>
        <v>614.1155555555556</v>
      </c>
      <c r="AF267" s="463">
        <f t="shared" si="398"/>
        <v>2.9066190944881887E-2</v>
      </c>
      <c r="AH267" s="153">
        <f t="shared" si="399"/>
        <v>0.26446711920928312</v>
      </c>
      <c r="AI267" s="153">
        <f t="shared" si="400"/>
        <v>0.39507311586051741</v>
      </c>
      <c r="AJ267" s="153">
        <f t="shared" si="401"/>
        <v>1.381535641378161</v>
      </c>
      <c r="AL267" s="317">
        <f t="shared" si="402"/>
        <v>51.000000000000007</v>
      </c>
      <c r="AM267" s="147">
        <f t="shared" si="403"/>
        <v>174.26651605718098</v>
      </c>
      <c r="AO267">
        <f t="shared" si="381"/>
        <v>51.000000000000007</v>
      </c>
      <c r="AP267">
        <f t="shared" si="382"/>
        <v>174.26651605718098</v>
      </c>
      <c r="AR267" s="5">
        <f t="shared" si="406"/>
        <v>5.7383370174903616</v>
      </c>
      <c r="AS267" s="5">
        <f t="shared" si="385"/>
        <v>2.8219508275751242</v>
      </c>
      <c r="AT267" s="5">
        <f t="shared" si="386"/>
        <v>2.9163861899152375</v>
      </c>
      <c r="AU267" s="153">
        <f t="shared" si="387"/>
        <v>0.49177153920619548</v>
      </c>
      <c r="CI267" s="59">
        <f t="shared" si="404"/>
        <v>-50</v>
      </c>
    </row>
    <row r="268" spans="5:87" x14ac:dyDescent="0.25">
      <c r="E268" s="150">
        <v>52</v>
      </c>
      <c r="F268" s="191">
        <f t="shared" si="405"/>
        <v>5.2000000000000005E-2</v>
      </c>
      <c r="G268" s="191">
        <f t="shared" si="388"/>
        <v>5.2000000000000005E-2</v>
      </c>
      <c r="H268" s="191">
        <f t="shared" si="389"/>
        <v>1.04</v>
      </c>
      <c r="I268" s="191">
        <f t="shared" si="390"/>
        <v>0.83200000000000007</v>
      </c>
      <c r="J268" s="472">
        <f t="shared" si="356"/>
        <v>21</v>
      </c>
      <c r="K268" s="386">
        <f t="shared" si="357"/>
        <v>20.32</v>
      </c>
      <c r="L268" s="386">
        <f t="shared" si="358"/>
        <v>41.32</v>
      </c>
      <c r="M268" s="386"/>
      <c r="N268" s="191">
        <f t="shared" si="359"/>
        <v>0.49177153920619554</v>
      </c>
      <c r="O268" s="152">
        <f t="shared" si="391"/>
        <v>1.9363504356243948</v>
      </c>
      <c r="P268" s="152">
        <f t="shared" si="392"/>
        <v>2.7883446272991286</v>
      </c>
      <c r="Q268" s="191">
        <f t="shared" si="362"/>
        <v>9.6817521781219745E-2</v>
      </c>
      <c r="R268" s="191">
        <f t="shared" si="393"/>
        <v>0.12102190222652467</v>
      </c>
      <c r="S268" s="191">
        <f t="shared" si="394"/>
        <v>20</v>
      </c>
      <c r="T268" s="191">
        <f t="shared" si="395"/>
        <v>0.40281964754405697</v>
      </c>
      <c r="U268" s="191">
        <f t="shared" si="366"/>
        <v>2.8772831967432637</v>
      </c>
      <c r="V268" s="191">
        <f t="shared" si="367"/>
        <v>2.9735702328547511</v>
      </c>
      <c r="W268" s="175">
        <f t="shared" si="368"/>
        <v>350</v>
      </c>
      <c r="X268" s="386">
        <f t="shared" si="369"/>
        <v>170.91523690223519</v>
      </c>
      <c r="Z268" s="191">
        <f t="shared" si="370"/>
        <v>0.19670861568247827</v>
      </c>
      <c r="AA268" s="153">
        <f t="shared" si="371"/>
        <v>1.4520813165537272</v>
      </c>
      <c r="AB268" s="153">
        <f t="shared" si="396"/>
        <v>2.7770254714773877E-2</v>
      </c>
      <c r="AC268" s="153"/>
      <c r="AD268" s="153">
        <f t="shared" si="373"/>
        <v>1.1072834645669289</v>
      </c>
      <c r="AE268" s="317">
        <f t="shared" si="397"/>
        <v>626.15703703703707</v>
      </c>
      <c r="AF268" s="463">
        <f t="shared" si="398"/>
        <v>2.9066190944881887E-2</v>
      </c>
      <c r="AH268" s="153">
        <f t="shared" si="399"/>
        <v>0.26704734732680968</v>
      </c>
      <c r="AI268" s="153">
        <f t="shared" si="400"/>
        <v>0.40281964754405697</v>
      </c>
      <c r="AJ268" s="153">
        <f t="shared" si="401"/>
        <v>1.3872738129955977</v>
      </c>
      <c r="AL268" s="317">
        <f t="shared" si="402"/>
        <v>52.000000000000007</v>
      </c>
      <c r="AM268" s="147">
        <f t="shared" si="403"/>
        <v>170.91523690223519</v>
      </c>
      <c r="AO268">
        <f t="shared" si="381"/>
        <v>52.000000000000007</v>
      </c>
      <c r="AP268">
        <f t="shared" si="382"/>
        <v>170.91523690223519</v>
      </c>
      <c r="AR268" s="5">
        <f t="shared" si="406"/>
        <v>5.8508534295980148</v>
      </c>
      <c r="AS268" s="5">
        <f t="shared" si="385"/>
        <v>2.8772831967432637</v>
      </c>
      <c r="AT268" s="5">
        <f t="shared" si="386"/>
        <v>2.9735702328547511</v>
      </c>
      <c r="AU268" s="153">
        <f t="shared" si="387"/>
        <v>0.49177153920619554</v>
      </c>
      <c r="CI268" s="59">
        <f t="shared" si="404"/>
        <v>-50</v>
      </c>
    </row>
    <row r="269" spans="5:87" x14ac:dyDescent="0.25">
      <c r="E269" s="150">
        <v>53</v>
      </c>
      <c r="F269" s="191">
        <f t="shared" si="405"/>
        <v>5.3000000000000005E-2</v>
      </c>
      <c r="G269" s="191">
        <f t="shared" si="388"/>
        <v>5.3000000000000005E-2</v>
      </c>
      <c r="H269" s="191">
        <f t="shared" si="389"/>
        <v>1.06</v>
      </c>
      <c r="I269" s="191">
        <f t="shared" si="390"/>
        <v>0.84800000000000009</v>
      </c>
      <c r="J269" s="472">
        <f t="shared" si="356"/>
        <v>21</v>
      </c>
      <c r="K269" s="386">
        <f t="shared" si="357"/>
        <v>20.32</v>
      </c>
      <c r="L269" s="386">
        <f t="shared" si="358"/>
        <v>41.32</v>
      </c>
      <c r="M269" s="386"/>
      <c r="N269" s="191">
        <f t="shared" si="359"/>
        <v>0.49177153920619554</v>
      </c>
      <c r="O269" s="152">
        <f t="shared" si="391"/>
        <v>1.9363504356243948</v>
      </c>
      <c r="P269" s="152">
        <f t="shared" si="392"/>
        <v>2.7883446272991286</v>
      </c>
      <c r="Q269" s="191">
        <f t="shared" si="362"/>
        <v>9.6817521781219745E-2</v>
      </c>
      <c r="R269" s="191">
        <f t="shared" si="393"/>
        <v>0.12102190222652467</v>
      </c>
      <c r="S269" s="191">
        <f t="shared" si="394"/>
        <v>20</v>
      </c>
      <c r="T269" s="191">
        <f t="shared" si="395"/>
        <v>0.41056617922759653</v>
      </c>
      <c r="U269" s="191">
        <f t="shared" si="366"/>
        <v>2.9326155659114037</v>
      </c>
      <c r="V269" s="191">
        <f t="shared" si="367"/>
        <v>3.030754275794266</v>
      </c>
      <c r="W269" s="175">
        <f t="shared" si="368"/>
        <v>350</v>
      </c>
      <c r="X269" s="386">
        <f t="shared" si="369"/>
        <v>167.69042111162696</v>
      </c>
      <c r="Z269" s="191">
        <f t="shared" si="370"/>
        <v>0.19670861568247827</v>
      </c>
      <c r="AA269" s="153">
        <f t="shared" si="371"/>
        <v>1.4520813165537272</v>
      </c>
      <c r="AB269" s="153">
        <f t="shared" si="396"/>
        <v>2.7770254714773877E-2</v>
      </c>
      <c r="AC269" s="153"/>
      <c r="AD269" s="153">
        <f t="shared" si="373"/>
        <v>1.1072834645669289</v>
      </c>
      <c r="AE269" s="317">
        <f t="shared" si="397"/>
        <v>638.19851851851865</v>
      </c>
      <c r="AF269" s="463">
        <f t="shared" si="398"/>
        <v>2.9066190944881887E-2</v>
      </c>
      <c r="AH269" s="153">
        <f t="shared" si="399"/>
        <v>0.26960288256195314</v>
      </c>
      <c r="AI269" s="153">
        <f t="shared" si="400"/>
        <v>0.41056617922759653</v>
      </c>
      <c r="AJ269" s="153">
        <f t="shared" si="401"/>
        <v>1.3930119846130344</v>
      </c>
      <c r="AL269" s="317">
        <f t="shared" si="402"/>
        <v>53.000000000000007</v>
      </c>
      <c r="AM269" s="147">
        <f t="shared" si="403"/>
        <v>167.69042111162696</v>
      </c>
      <c r="AO269">
        <f t="shared" si="381"/>
        <v>53.000000000000007</v>
      </c>
      <c r="AP269">
        <f t="shared" si="382"/>
        <v>167.69042111162696</v>
      </c>
      <c r="AR269" s="5">
        <f t="shared" si="406"/>
        <v>5.9633698417056697</v>
      </c>
      <c r="AS269" s="5">
        <f t="shared" si="385"/>
        <v>2.9326155659114037</v>
      </c>
      <c r="AT269" s="5">
        <f t="shared" si="386"/>
        <v>3.030754275794266</v>
      </c>
      <c r="AU269" s="153">
        <f t="shared" si="387"/>
        <v>0.49177153920619554</v>
      </c>
      <c r="CI269" s="59">
        <f t="shared" si="404"/>
        <v>-50</v>
      </c>
    </row>
    <row r="270" spans="5:87" x14ac:dyDescent="0.25">
      <c r="E270" s="150">
        <v>54</v>
      </c>
      <c r="F270" s="191">
        <f t="shared" si="405"/>
        <v>5.4000000000000006E-2</v>
      </c>
      <c r="G270" s="191">
        <f t="shared" si="388"/>
        <v>5.4000000000000006E-2</v>
      </c>
      <c r="H270" s="191">
        <f t="shared" si="389"/>
        <v>1.08</v>
      </c>
      <c r="I270" s="191">
        <f t="shared" si="390"/>
        <v>0.8640000000000001</v>
      </c>
      <c r="J270" s="472">
        <f t="shared" si="356"/>
        <v>21</v>
      </c>
      <c r="K270" s="386">
        <f t="shared" si="357"/>
        <v>20.32</v>
      </c>
      <c r="L270" s="386">
        <f t="shared" si="358"/>
        <v>41.32</v>
      </c>
      <c r="M270" s="386"/>
      <c r="N270" s="191">
        <f t="shared" si="359"/>
        <v>0.49177153920619554</v>
      </c>
      <c r="O270" s="152">
        <f t="shared" si="391"/>
        <v>1.9363504356243948</v>
      </c>
      <c r="P270" s="152">
        <f t="shared" si="392"/>
        <v>2.7883446272991286</v>
      </c>
      <c r="Q270" s="191">
        <f t="shared" si="362"/>
        <v>9.6817521781219745E-2</v>
      </c>
      <c r="R270" s="191">
        <f t="shared" si="393"/>
        <v>0.12102190222652467</v>
      </c>
      <c r="S270" s="191">
        <f t="shared" si="394"/>
        <v>20</v>
      </c>
      <c r="T270" s="191">
        <f t="shared" si="395"/>
        <v>0.41831271091113614</v>
      </c>
      <c r="U270" s="191">
        <f t="shared" si="366"/>
        <v>2.9879479350795437</v>
      </c>
      <c r="V270" s="191">
        <f t="shared" si="367"/>
        <v>3.0879383187337806</v>
      </c>
      <c r="W270" s="175">
        <f t="shared" si="368"/>
        <v>350</v>
      </c>
      <c r="X270" s="386">
        <f t="shared" si="369"/>
        <v>164.58504294289312</v>
      </c>
      <c r="Z270" s="191">
        <f t="shared" si="370"/>
        <v>0.19670861568247827</v>
      </c>
      <c r="AA270" s="153">
        <f t="shared" si="371"/>
        <v>1.4520813165537272</v>
      </c>
      <c r="AB270" s="153">
        <f t="shared" si="396"/>
        <v>2.7770254714773877E-2</v>
      </c>
      <c r="AC270" s="153"/>
      <c r="AD270" s="153">
        <f t="shared" si="373"/>
        <v>1.1072834645669289</v>
      </c>
      <c r="AE270" s="317">
        <f t="shared" si="397"/>
        <v>650.24000000000012</v>
      </c>
      <c r="AF270" s="463">
        <f t="shared" si="398"/>
        <v>2.9066190944881887E-2</v>
      </c>
      <c r="AH270" s="153">
        <f t="shared" si="399"/>
        <v>0.27213442056664366</v>
      </c>
      <c r="AI270" s="153">
        <f t="shared" si="400"/>
        <v>0.41831271091113614</v>
      </c>
      <c r="AJ270" s="153">
        <f t="shared" si="401"/>
        <v>1.3987501562304712</v>
      </c>
      <c r="AL270" s="317">
        <f t="shared" si="402"/>
        <v>54.000000000000007</v>
      </c>
      <c r="AM270" s="147">
        <f t="shared" si="403"/>
        <v>164.58504294289312</v>
      </c>
      <c r="AO270">
        <f t="shared" si="381"/>
        <v>54.000000000000007</v>
      </c>
      <c r="AP270">
        <f t="shared" si="382"/>
        <v>164.58504294289312</v>
      </c>
      <c r="AR270" s="5">
        <f t="shared" si="406"/>
        <v>6.0758862538133247</v>
      </c>
      <c r="AS270" s="5">
        <f t="shared" si="385"/>
        <v>2.9879479350795437</v>
      </c>
      <c r="AT270" s="5">
        <f t="shared" si="386"/>
        <v>3.087938318733781</v>
      </c>
      <c r="AU270" s="153">
        <f t="shared" si="387"/>
        <v>0.49177153920619548</v>
      </c>
      <c r="CI270" s="59">
        <f t="shared" si="404"/>
        <v>-50</v>
      </c>
    </row>
    <row r="271" spans="5:87" x14ac:dyDescent="0.25">
      <c r="E271" s="150">
        <v>55</v>
      </c>
      <c r="F271" s="191">
        <f t="shared" si="405"/>
        <v>5.5000000000000007E-2</v>
      </c>
      <c r="G271" s="191">
        <f t="shared" si="388"/>
        <v>5.5000000000000007E-2</v>
      </c>
      <c r="H271" s="191">
        <f t="shared" si="389"/>
        <v>1.1000000000000001</v>
      </c>
      <c r="I271" s="191">
        <f t="shared" si="390"/>
        <v>0.88000000000000012</v>
      </c>
      <c r="J271" s="472">
        <f t="shared" si="356"/>
        <v>21</v>
      </c>
      <c r="K271" s="386">
        <f t="shared" si="357"/>
        <v>20.32</v>
      </c>
      <c r="L271" s="386">
        <f t="shared" si="358"/>
        <v>41.32</v>
      </c>
      <c r="M271" s="386"/>
      <c r="N271" s="191">
        <f t="shared" si="359"/>
        <v>0.49177153920619554</v>
      </c>
      <c r="O271" s="152">
        <f t="shared" si="391"/>
        <v>1.9363504356243948</v>
      </c>
      <c r="P271" s="152">
        <f t="shared" si="392"/>
        <v>2.7883446272991286</v>
      </c>
      <c r="Q271" s="191">
        <f t="shared" si="362"/>
        <v>9.6817521781219745E-2</v>
      </c>
      <c r="R271" s="191">
        <f t="shared" si="393"/>
        <v>0.12102190222652467</v>
      </c>
      <c r="S271" s="191">
        <f t="shared" si="394"/>
        <v>20</v>
      </c>
      <c r="T271" s="191">
        <f t="shared" si="395"/>
        <v>0.4260592425946757</v>
      </c>
      <c r="U271" s="191">
        <f t="shared" si="366"/>
        <v>3.0432803042476833</v>
      </c>
      <c r="V271" s="191">
        <f t="shared" si="367"/>
        <v>3.1451223616732946</v>
      </c>
      <c r="W271" s="175">
        <f t="shared" si="368"/>
        <v>350</v>
      </c>
      <c r="X271" s="386">
        <f t="shared" si="369"/>
        <v>161.5925876166587</v>
      </c>
      <c r="Z271" s="191">
        <f t="shared" si="370"/>
        <v>0.19670861568247827</v>
      </c>
      <c r="AA271" s="153">
        <f t="shared" si="371"/>
        <v>1.4520813165537272</v>
      </c>
      <c r="AB271" s="153">
        <f t="shared" si="396"/>
        <v>2.7770254714773877E-2</v>
      </c>
      <c r="AC271" s="153"/>
      <c r="AD271" s="153">
        <f t="shared" si="373"/>
        <v>1.1072834645669289</v>
      </c>
      <c r="AE271" s="317">
        <f t="shared" si="397"/>
        <v>662.28148148148159</v>
      </c>
      <c r="AF271" s="463">
        <f t="shared" si="398"/>
        <v>2.9066190944881887E-2</v>
      </c>
      <c r="AH271" s="153">
        <f t="shared" si="399"/>
        <v>0.27464262493023811</v>
      </c>
      <c r="AI271" s="153">
        <f t="shared" si="400"/>
        <v>0.4260592425946757</v>
      </c>
      <c r="AJ271" s="153">
        <f t="shared" si="401"/>
        <v>1.4044883278479079</v>
      </c>
      <c r="AL271" s="317">
        <f t="shared" si="402"/>
        <v>55.000000000000007</v>
      </c>
      <c r="AM271" s="147">
        <f t="shared" si="403"/>
        <v>161.5925876166587</v>
      </c>
      <c r="AO271">
        <f t="shared" si="381"/>
        <v>55.000000000000007</v>
      </c>
      <c r="AP271">
        <f t="shared" si="382"/>
        <v>161.5925876166587</v>
      </c>
      <c r="AR271" s="5">
        <f t="shared" si="406"/>
        <v>6.1884026659209779</v>
      </c>
      <c r="AS271" s="5">
        <f t="shared" si="385"/>
        <v>3.0432803042476833</v>
      </c>
      <c r="AT271" s="5">
        <f t="shared" si="386"/>
        <v>3.1451223616732946</v>
      </c>
      <c r="AU271" s="153">
        <f t="shared" si="387"/>
        <v>0.49177153920619554</v>
      </c>
      <c r="CI271" s="59">
        <f t="shared" si="404"/>
        <v>-50</v>
      </c>
    </row>
    <row r="272" spans="5:87" x14ac:dyDescent="0.25">
      <c r="E272" s="150">
        <v>56</v>
      </c>
      <c r="F272" s="191">
        <f t="shared" si="405"/>
        <v>5.6000000000000008E-2</v>
      </c>
      <c r="G272" s="191">
        <f t="shared" si="388"/>
        <v>5.6000000000000008E-2</v>
      </c>
      <c r="H272" s="191">
        <f t="shared" si="389"/>
        <v>1.1200000000000001</v>
      </c>
      <c r="I272" s="191">
        <f t="shared" si="390"/>
        <v>0.89600000000000013</v>
      </c>
      <c r="J272" s="472">
        <f t="shared" si="356"/>
        <v>21</v>
      </c>
      <c r="K272" s="386">
        <f t="shared" si="357"/>
        <v>20.32</v>
      </c>
      <c r="L272" s="386">
        <f t="shared" si="358"/>
        <v>41.32</v>
      </c>
      <c r="M272" s="386"/>
      <c r="N272" s="191">
        <f t="shared" si="359"/>
        <v>0.49177153920619554</v>
      </c>
      <c r="O272" s="152">
        <f t="shared" si="391"/>
        <v>1.9363504356243948</v>
      </c>
      <c r="P272" s="152">
        <f t="shared" si="392"/>
        <v>2.7883446272991286</v>
      </c>
      <c r="Q272" s="191">
        <f t="shared" si="362"/>
        <v>9.6817521781219745E-2</v>
      </c>
      <c r="R272" s="191">
        <f t="shared" si="393"/>
        <v>0.12102190222652467</v>
      </c>
      <c r="S272" s="191">
        <f t="shared" si="394"/>
        <v>20</v>
      </c>
      <c r="T272" s="191">
        <f t="shared" si="395"/>
        <v>0.43380577427821521</v>
      </c>
      <c r="U272" s="191">
        <f t="shared" si="366"/>
        <v>3.0986126734158224</v>
      </c>
      <c r="V272" s="191">
        <f t="shared" si="367"/>
        <v>3.2023064046128087</v>
      </c>
      <c r="W272" s="175">
        <f t="shared" si="368"/>
        <v>350</v>
      </c>
      <c r="X272" s="386">
        <f t="shared" si="369"/>
        <v>158.70700569493269</v>
      </c>
      <c r="Z272" s="191">
        <f t="shared" si="370"/>
        <v>0.19670861568247827</v>
      </c>
      <c r="AA272" s="153">
        <f t="shared" si="371"/>
        <v>1.4520813165537272</v>
      </c>
      <c r="AB272" s="153">
        <f t="shared" si="396"/>
        <v>2.7770254714773877E-2</v>
      </c>
      <c r="AC272" s="153"/>
      <c r="AD272" s="153">
        <f t="shared" si="373"/>
        <v>1.1072834645669289</v>
      </c>
      <c r="AE272" s="317">
        <f t="shared" si="397"/>
        <v>674.32296296296317</v>
      </c>
      <c r="AF272" s="463">
        <f t="shared" si="398"/>
        <v>2.9066190944881887E-2</v>
      </c>
      <c r="AH272" s="153">
        <f t="shared" si="399"/>
        <v>0.27712812921102037</v>
      </c>
      <c r="AI272" s="153">
        <f t="shared" si="400"/>
        <v>0.43380577427821521</v>
      </c>
      <c r="AJ272" s="153">
        <f t="shared" si="401"/>
        <v>1.4102264994653446</v>
      </c>
      <c r="AL272" s="317">
        <f t="shared" si="402"/>
        <v>56.000000000000007</v>
      </c>
      <c r="AM272" s="147">
        <f t="shared" si="403"/>
        <v>158.70700569493269</v>
      </c>
      <c r="AO272">
        <f t="shared" si="381"/>
        <v>56.000000000000007</v>
      </c>
      <c r="AP272">
        <f t="shared" si="382"/>
        <v>158.70700569493269</v>
      </c>
      <c r="AR272" s="5">
        <f t="shared" si="406"/>
        <v>6.300919078028631</v>
      </c>
      <c r="AS272" s="5">
        <f t="shared" si="385"/>
        <v>3.0986126734158224</v>
      </c>
      <c r="AT272" s="5">
        <f t="shared" si="386"/>
        <v>3.2023064046128087</v>
      </c>
      <c r="AU272" s="153">
        <f t="shared" si="387"/>
        <v>0.49177153920619554</v>
      </c>
      <c r="CI272" s="59">
        <f t="shared" si="404"/>
        <v>-50</v>
      </c>
    </row>
    <row r="273" spans="5:87" x14ac:dyDescent="0.25">
      <c r="E273" s="150">
        <v>57</v>
      </c>
      <c r="F273" s="191">
        <f t="shared" si="405"/>
        <v>5.6999999999999995E-2</v>
      </c>
      <c r="G273" s="191">
        <f t="shared" si="388"/>
        <v>5.6999999999999995E-2</v>
      </c>
      <c r="H273" s="191">
        <f t="shared" si="389"/>
        <v>1.1399999999999999</v>
      </c>
      <c r="I273" s="191">
        <f t="shared" si="390"/>
        <v>0.91199999999999992</v>
      </c>
      <c r="J273" s="472">
        <f t="shared" si="356"/>
        <v>21</v>
      </c>
      <c r="K273" s="386">
        <f t="shared" si="357"/>
        <v>20.32</v>
      </c>
      <c r="L273" s="386">
        <f t="shared" si="358"/>
        <v>41.32</v>
      </c>
      <c r="M273" s="386"/>
      <c r="N273" s="191">
        <f t="shared" si="359"/>
        <v>0.49177153920619554</v>
      </c>
      <c r="O273" s="152">
        <f t="shared" si="391"/>
        <v>1.9363504356243948</v>
      </c>
      <c r="P273" s="152">
        <f t="shared" si="392"/>
        <v>2.7883446272991286</v>
      </c>
      <c r="Q273" s="191">
        <f t="shared" si="362"/>
        <v>9.6817521781219745E-2</v>
      </c>
      <c r="R273" s="191">
        <f t="shared" si="393"/>
        <v>0.12102190222652467</v>
      </c>
      <c r="S273" s="191">
        <f t="shared" si="394"/>
        <v>20</v>
      </c>
      <c r="T273" s="191">
        <f t="shared" si="395"/>
        <v>0.44155230596175465</v>
      </c>
      <c r="U273" s="191">
        <f t="shared" si="366"/>
        <v>3.1539450425839615</v>
      </c>
      <c r="V273" s="191">
        <f t="shared" si="367"/>
        <v>3.2594904475523223</v>
      </c>
      <c r="W273" s="175">
        <f t="shared" si="368"/>
        <v>350</v>
      </c>
      <c r="X273" s="386">
        <f t="shared" si="369"/>
        <v>155.92267226168829</v>
      </c>
      <c r="Z273" s="191">
        <f t="shared" si="370"/>
        <v>0.19670861568247827</v>
      </c>
      <c r="AA273" s="153">
        <f t="shared" si="371"/>
        <v>1.4520813165537272</v>
      </c>
      <c r="AB273" s="153">
        <f t="shared" si="396"/>
        <v>2.7770254714773877E-2</v>
      </c>
      <c r="AC273" s="153"/>
      <c r="AD273" s="153">
        <f t="shared" si="373"/>
        <v>1.1072834645669289</v>
      </c>
      <c r="AE273" s="317">
        <f t="shared" si="397"/>
        <v>686.36444444444442</v>
      </c>
      <c r="AF273" s="463">
        <f t="shared" si="398"/>
        <v>2.9066190944881887E-2</v>
      </c>
      <c r="AH273" s="153">
        <f t="shared" si="399"/>
        <v>0.27959153880514442</v>
      </c>
      <c r="AI273" s="153">
        <f t="shared" si="400"/>
        <v>0.44155230596175465</v>
      </c>
      <c r="AJ273" s="153">
        <f t="shared" si="401"/>
        <v>1.4159646710827811</v>
      </c>
      <c r="AL273" s="317">
        <f t="shared" si="402"/>
        <v>56.999999999999993</v>
      </c>
      <c r="AM273" s="147">
        <f t="shared" si="403"/>
        <v>155.92267226168829</v>
      </c>
      <c r="AO273">
        <f t="shared" si="381"/>
        <v>56.999999999999993</v>
      </c>
      <c r="AP273">
        <f t="shared" si="382"/>
        <v>155.92267226168829</v>
      </c>
      <c r="AR273" s="5">
        <f t="shared" si="406"/>
        <v>6.4134354901362842</v>
      </c>
      <c r="AS273" s="5">
        <f t="shared" si="385"/>
        <v>3.1539450425839615</v>
      </c>
      <c r="AT273" s="5">
        <f t="shared" si="386"/>
        <v>3.2594904475523228</v>
      </c>
      <c r="AU273" s="153">
        <f t="shared" si="387"/>
        <v>0.49177153920619554</v>
      </c>
      <c r="CI273" s="59">
        <f t="shared" si="404"/>
        <v>-50</v>
      </c>
    </row>
    <row r="274" spans="5:87" x14ac:dyDescent="0.25">
      <c r="E274" s="150">
        <v>58</v>
      </c>
      <c r="F274" s="191">
        <f t="shared" si="405"/>
        <v>5.7999999999999996E-2</v>
      </c>
      <c r="G274" s="191">
        <f t="shared" si="388"/>
        <v>5.7999999999999996E-2</v>
      </c>
      <c r="H274" s="191">
        <f t="shared" si="389"/>
        <v>1.1599999999999999</v>
      </c>
      <c r="I274" s="191">
        <f t="shared" si="390"/>
        <v>0.92799999999999994</v>
      </c>
      <c r="J274" s="472">
        <f t="shared" si="356"/>
        <v>21</v>
      </c>
      <c r="K274" s="386">
        <f t="shared" si="357"/>
        <v>20.32</v>
      </c>
      <c r="L274" s="386">
        <f t="shared" si="358"/>
        <v>41.32</v>
      </c>
      <c r="M274" s="386"/>
      <c r="N274" s="191">
        <f t="shared" si="359"/>
        <v>0.49177153920619554</v>
      </c>
      <c r="O274" s="152">
        <f t="shared" si="391"/>
        <v>1.9363504356243948</v>
      </c>
      <c r="P274" s="152">
        <f t="shared" si="392"/>
        <v>2.7883446272991286</v>
      </c>
      <c r="Q274" s="191">
        <f t="shared" si="362"/>
        <v>9.6817521781219745E-2</v>
      </c>
      <c r="R274" s="191">
        <f t="shared" si="393"/>
        <v>0.12102190222652467</v>
      </c>
      <c r="S274" s="191">
        <f t="shared" si="394"/>
        <v>20</v>
      </c>
      <c r="T274" s="191">
        <f t="shared" si="395"/>
        <v>0.44929883764529432</v>
      </c>
      <c r="U274" s="191">
        <f t="shared" si="366"/>
        <v>3.2092774117521019</v>
      </c>
      <c r="V274" s="191">
        <f t="shared" si="367"/>
        <v>3.3166744904918373</v>
      </c>
      <c r="W274" s="175">
        <f t="shared" si="368"/>
        <v>350</v>
      </c>
      <c r="X274" s="386">
        <f t="shared" si="369"/>
        <v>153.23435032614191</v>
      </c>
      <c r="Z274" s="191">
        <f t="shared" si="370"/>
        <v>0.19670861568247827</v>
      </c>
      <c r="AA274" s="153">
        <f t="shared" si="371"/>
        <v>1.4520813165537272</v>
      </c>
      <c r="AB274" s="153">
        <f t="shared" si="396"/>
        <v>2.7770254714773877E-2</v>
      </c>
      <c r="AC274" s="153"/>
      <c r="AD274" s="153">
        <f t="shared" si="373"/>
        <v>1.1072834645669289</v>
      </c>
      <c r="AE274" s="317">
        <f t="shared" si="397"/>
        <v>698.405925925926</v>
      </c>
      <c r="AF274" s="463">
        <f t="shared" si="398"/>
        <v>2.9066190944881887E-2</v>
      </c>
      <c r="AH274" s="153">
        <f t="shared" si="399"/>
        <v>0.2820334326686415</v>
      </c>
      <c r="AI274" s="153">
        <f t="shared" si="400"/>
        <v>0.44929883764529432</v>
      </c>
      <c r="AJ274" s="153">
        <f t="shared" si="401"/>
        <v>1.4217028427002179</v>
      </c>
      <c r="AL274" s="317">
        <f t="shared" si="402"/>
        <v>57.999999999999993</v>
      </c>
      <c r="AM274" s="147">
        <f t="shared" si="403"/>
        <v>153.23435032614191</v>
      </c>
      <c r="AO274">
        <f t="shared" si="381"/>
        <v>57.999999999999993</v>
      </c>
      <c r="AP274">
        <f t="shared" si="382"/>
        <v>153.23435032614191</v>
      </c>
      <c r="AR274" s="5">
        <f t="shared" si="406"/>
        <v>6.5259519022439392</v>
      </c>
      <c r="AS274" s="5">
        <f t="shared" si="385"/>
        <v>3.2092774117521019</v>
      </c>
      <c r="AT274" s="5">
        <f t="shared" si="386"/>
        <v>3.3166744904918373</v>
      </c>
      <c r="AU274" s="153">
        <f t="shared" si="387"/>
        <v>0.4917715392061956</v>
      </c>
      <c r="CI274" s="59">
        <f t="shared" si="404"/>
        <v>-50</v>
      </c>
    </row>
    <row r="275" spans="5:87" x14ac:dyDescent="0.25">
      <c r="E275" s="150">
        <v>59</v>
      </c>
      <c r="F275" s="191">
        <f t="shared" si="405"/>
        <v>5.8999999999999997E-2</v>
      </c>
      <c r="G275" s="191">
        <f t="shared" si="388"/>
        <v>5.8999999999999997E-2</v>
      </c>
      <c r="H275" s="191">
        <f t="shared" si="389"/>
        <v>1.18</v>
      </c>
      <c r="I275" s="191">
        <f t="shared" si="390"/>
        <v>0.94399999999999995</v>
      </c>
      <c r="J275" s="472">
        <f t="shared" si="356"/>
        <v>21</v>
      </c>
      <c r="K275" s="386">
        <f t="shared" si="357"/>
        <v>20.32</v>
      </c>
      <c r="L275" s="386">
        <f t="shared" si="358"/>
        <v>41.32</v>
      </c>
      <c r="M275" s="386"/>
      <c r="N275" s="191">
        <f t="shared" si="359"/>
        <v>0.49177153920619554</v>
      </c>
      <c r="O275" s="152">
        <f t="shared" si="391"/>
        <v>1.9363504356243948</v>
      </c>
      <c r="P275" s="152">
        <f t="shared" si="392"/>
        <v>2.7883446272991286</v>
      </c>
      <c r="Q275" s="191">
        <f t="shared" si="362"/>
        <v>9.6817521781219745E-2</v>
      </c>
      <c r="R275" s="191">
        <f t="shared" si="393"/>
        <v>0.12102190222652467</v>
      </c>
      <c r="S275" s="191">
        <f t="shared" si="394"/>
        <v>20</v>
      </c>
      <c r="T275" s="191">
        <f t="shared" si="395"/>
        <v>0.45704536932883377</v>
      </c>
      <c r="U275" s="191">
        <f t="shared" si="366"/>
        <v>3.2646097809202406</v>
      </c>
      <c r="V275" s="191">
        <f t="shared" si="367"/>
        <v>3.3738585334313513</v>
      </c>
      <c r="W275" s="175">
        <f t="shared" si="368"/>
        <v>350</v>
      </c>
      <c r="X275" s="386">
        <f t="shared" si="369"/>
        <v>150.63715794773279</v>
      </c>
      <c r="Z275" s="191">
        <f t="shared" si="370"/>
        <v>0.19670861568247827</v>
      </c>
      <c r="AA275" s="153">
        <f t="shared" si="371"/>
        <v>1.4520813165537272</v>
      </c>
      <c r="AB275" s="153">
        <f t="shared" si="396"/>
        <v>2.7770254714773877E-2</v>
      </c>
      <c r="AC275" s="153"/>
      <c r="AD275" s="153">
        <f t="shared" si="373"/>
        <v>1.1072834645669289</v>
      </c>
      <c r="AE275" s="317">
        <f t="shared" si="397"/>
        <v>710.44740740740747</v>
      </c>
      <c r="AF275" s="463">
        <f t="shared" si="398"/>
        <v>2.9066190944881887E-2</v>
      </c>
      <c r="AH275" s="153">
        <f t="shared" si="399"/>
        <v>0.28445436490636899</v>
      </c>
      <c r="AI275" s="153">
        <f t="shared" si="400"/>
        <v>0.45704536932883377</v>
      </c>
      <c r="AJ275" s="153">
        <f t="shared" si="401"/>
        <v>1.4274410143176546</v>
      </c>
      <c r="AL275" s="317">
        <f t="shared" si="402"/>
        <v>59</v>
      </c>
      <c r="AM275" s="147">
        <f t="shared" si="403"/>
        <v>150.63715794773279</v>
      </c>
      <c r="AO275">
        <f t="shared" si="381"/>
        <v>59</v>
      </c>
      <c r="AP275">
        <f t="shared" si="382"/>
        <v>150.63715794773279</v>
      </c>
      <c r="AR275" s="5">
        <f t="shared" si="406"/>
        <v>6.6384683143515906</v>
      </c>
      <c r="AS275" s="5">
        <f t="shared" si="385"/>
        <v>3.2646097809202406</v>
      </c>
      <c r="AT275" s="5">
        <f t="shared" si="386"/>
        <v>3.37385853343135</v>
      </c>
      <c r="AU275" s="153">
        <f t="shared" si="387"/>
        <v>0.4917715392061956</v>
      </c>
      <c r="CI275" s="59">
        <f t="shared" si="404"/>
        <v>-50</v>
      </c>
    </row>
    <row r="276" spans="5:87" x14ac:dyDescent="0.25">
      <c r="E276" s="150">
        <v>60</v>
      </c>
      <c r="F276" s="191">
        <f t="shared" si="405"/>
        <v>0.06</v>
      </c>
      <c r="G276" s="191">
        <f t="shared" si="388"/>
        <v>0.06</v>
      </c>
      <c r="H276" s="191">
        <f t="shared" si="389"/>
        <v>1.2</v>
      </c>
      <c r="I276" s="191">
        <f t="shared" si="390"/>
        <v>0.96</v>
      </c>
      <c r="J276" s="472">
        <f t="shared" si="356"/>
        <v>21</v>
      </c>
      <c r="K276" s="386">
        <f t="shared" si="357"/>
        <v>20.32</v>
      </c>
      <c r="L276" s="386">
        <f t="shared" si="358"/>
        <v>41.32</v>
      </c>
      <c r="M276" s="386"/>
      <c r="N276" s="191">
        <f t="shared" si="359"/>
        <v>0.49177153920619554</v>
      </c>
      <c r="O276" s="152">
        <f t="shared" si="391"/>
        <v>1.9363504356243948</v>
      </c>
      <c r="P276" s="152">
        <f t="shared" si="392"/>
        <v>2.7883446272991286</v>
      </c>
      <c r="Q276" s="191">
        <f t="shared" si="362"/>
        <v>9.6817521781219745E-2</v>
      </c>
      <c r="R276" s="191">
        <f t="shared" si="393"/>
        <v>0.12102190222652467</v>
      </c>
      <c r="S276" s="191">
        <f t="shared" si="394"/>
        <v>20</v>
      </c>
      <c r="T276" s="191">
        <f t="shared" si="395"/>
        <v>0.46479190101237344</v>
      </c>
      <c r="U276" s="191">
        <f t="shared" si="366"/>
        <v>3.319942150088381</v>
      </c>
      <c r="V276" s="191">
        <f t="shared" si="367"/>
        <v>3.4310425763708663</v>
      </c>
      <c r="W276" s="175">
        <f t="shared" si="368"/>
        <v>350</v>
      </c>
      <c r="X276" s="386">
        <f t="shared" si="369"/>
        <v>148.12653864860383</v>
      </c>
      <c r="Z276" s="191">
        <f t="shared" si="370"/>
        <v>0.19670861568247827</v>
      </c>
      <c r="AA276" s="153">
        <f t="shared" si="371"/>
        <v>1.4520813165537272</v>
      </c>
      <c r="AB276" s="153">
        <f t="shared" si="396"/>
        <v>2.7770254714773877E-2</v>
      </c>
      <c r="AC276" s="153"/>
      <c r="AD276" s="153">
        <f t="shared" si="373"/>
        <v>1.1072834645669289</v>
      </c>
      <c r="AE276" s="317">
        <f t="shared" si="397"/>
        <v>722.48888888888882</v>
      </c>
      <c r="AF276" s="463">
        <f t="shared" si="398"/>
        <v>2.9066190944881887E-2</v>
      </c>
      <c r="AH276" s="153">
        <f t="shared" si="399"/>
        <v>0.28685486624025447</v>
      </c>
      <c r="AI276" s="153">
        <f t="shared" si="400"/>
        <v>0.46479190101237344</v>
      </c>
      <c r="AJ276" s="153">
        <f t="shared" si="401"/>
        <v>1.4331791859350913</v>
      </c>
      <c r="AL276" s="317">
        <f t="shared" si="402"/>
        <v>60</v>
      </c>
      <c r="AM276" s="147">
        <f t="shared" si="403"/>
        <v>148.12653864860383</v>
      </c>
      <c r="AO276">
        <f t="shared" si="381"/>
        <v>60</v>
      </c>
      <c r="AP276">
        <f t="shared" si="382"/>
        <v>148.12653864860383</v>
      </c>
      <c r="AR276" s="5">
        <f t="shared" si="406"/>
        <v>6.7509847264592482</v>
      </c>
      <c r="AS276" s="5">
        <f t="shared" si="385"/>
        <v>3.319942150088381</v>
      </c>
      <c r="AT276" s="5">
        <f t="shared" si="386"/>
        <v>3.4310425763708672</v>
      </c>
      <c r="AU276" s="153">
        <f t="shared" si="387"/>
        <v>0.49177153920619548</v>
      </c>
      <c r="CI276" s="59">
        <f t="shared" si="404"/>
        <v>-50</v>
      </c>
    </row>
    <row r="277" spans="5:87" x14ac:dyDescent="0.25">
      <c r="E277" s="150">
        <v>61</v>
      </c>
      <c r="F277" s="191">
        <f t="shared" si="405"/>
        <v>6.0999999999999999E-2</v>
      </c>
      <c r="G277" s="191">
        <f t="shared" si="388"/>
        <v>6.0999999999999999E-2</v>
      </c>
      <c r="H277" s="191">
        <f t="shared" si="389"/>
        <v>1.22</v>
      </c>
      <c r="I277" s="191">
        <f t="shared" si="390"/>
        <v>0.97599999999999998</v>
      </c>
      <c r="J277" s="472">
        <f t="shared" si="356"/>
        <v>21</v>
      </c>
      <c r="K277" s="386">
        <f t="shared" si="357"/>
        <v>20.32</v>
      </c>
      <c r="L277" s="386">
        <f t="shared" si="358"/>
        <v>41.32</v>
      </c>
      <c r="M277" s="386"/>
      <c r="N277" s="191">
        <f t="shared" si="359"/>
        <v>0.49177153920619554</v>
      </c>
      <c r="O277" s="152">
        <f t="shared" si="391"/>
        <v>1.9363504356243948</v>
      </c>
      <c r="P277" s="152">
        <f t="shared" si="392"/>
        <v>2.7883446272991286</v>
      </c>
      <c r="Q277" s="191">
        <f t="shared" si="362"/>
        <v>9.6817521781219745E-2</v>
      </c>
      <c r="R277" s="191">
        <f t="shared" si="393"/>
        <v>0.12102190222652467</v>
      </c>
      <c r="S277" s="191">
        <f t="shared" si="394"/>
        <v>20</v>
      </c>
      <c r="T277" s="191">
        <f t="shared" si="395"/>
        <v>0.47253843269591295</v>
      </c>
      <c r="U277" s="191">
        <f t="shared" si="366"/>
        <v>3.375274519256521</v>
      </c>
      <c r="V277" s="191">
        <f t="shared" si="367"/>
        <v>3.4882266193103808</v>
      </c>
      <c r="W277" s="175">
        <f t="shared" si="368"/>
        <v>350</v>
      </c>
      <c r="X277" s="386">
        <f t="shared" si="369"/>
        <v>145.69823473633167</v>
      </c>
      <c r="Z277" s="191">
        <f t="shared" si="370"/>
        <v>0.19670861568247827</v>
      </c>
      <c r="AA277" s="153">
        <f t="shared" si="371"/>
        <v>1.4520813165537272</v>
      </c>
      <c r="AB277" s="153">
        <f t="shared" si="396"/>
        <v>2.7770254714773877E-2</v>
      </c>
      <c r="AC277" s="153"/>
      <c r="AD277" s="153">
        <f t="shared" si="373"/>
        <v>1.1072834645669289</v>
      </c>
      <c r="AE277" s="317">
        <f t="shared" si="397"/>
        <v>734.53037037037041</v>
      </c>
      <c r="AF277" s="463">
        <f t="shared" si="398"/>
        <v>2.9066190944881887E-2</v>
      </c>
      <c r="AH277" s="153">
        <f t="shared" si="399"/>
        <v>0.28923544536785745</v>
      </c>
      <c r="AI277" s="153">
        <f t="shared" si="400"/>
        <v>0.47253843269591295</v>
      </c>
      <c r="AJ277" s="153">
        <f t="shared" si="401"/>
        <v>1.438917357552528</v>
      </c>
      <c r="AL277" s="317">
        <f t="shared" si="402"/>
        <v>61</v>
      </c>
      <c r="AM277" s="147">
        <f t="shared" si="403"/>
        <v>145.69823473633167</v>
      </c>
      <c r="AO277">
        <f t="shared" si="381"/>
        <v>61</v>
      </c>
      <c r="AP277">
        <f t="shared" si="382"/>
        <v>145.69823473633167</v>
      </c>
      <c r="AR277" s="5">
        <f t="shared" si="406"/>
        <v>6.8635011385669014</v>
      </c>
      <c r="AS277" s="5">
        <f t="shared" si="385"/>
        <v>3.375274519256521</v>
      </c>
      <c r="AT277" s="5">
        <f t="shared" si="386"/>
        <v>3.4882266193103804</v>
      </c>
      <c r="AU277" s="153">
        <f t="shared" si="387"/>
        <v>0.4917715392061956</v>
      </c>
      <c r="CI277" s="59">
        <f t="shared" si="404"/>
        <v>-50</v>
      </c>
    </row>
    <row r="278" spans="5:87" x14ac:dyDescent="0.25">
      <c r="E278" s="150">
        <v>62</v>
      </c>
      <c r="F278" s="191">
        <f t="shared" si="405"/>
        <v>6.2E-2</v>
      </c>
      <c r="G278" s="191">
        <f t="shared" si="388"/>
        <v>6.2E-2</v>
      </c>
      <c r="H278" s="191">
        <f t="shared" si="389"/>
        <v>1.24</v>
      </c>
      <c r="I278" s="191">
        <f t="shared" si="390"/>
        <v>0.99199999999999999</v>
      </c>
      <c r="J278" s="472">
        <f t="shared" si="356"/>
        <v>21</v>
      </c>
      <c r="K278" s="386">
        <f t="shared" si="357"/>
        <v>20.32</v>
      </c>
      <c r="L278" s="386">
        <f t="shared" si="358"/>
        <v>41.32</v>
      </c>
      <c r="M278" s="386"/>
      <c r="N278" s="191">
        <f t="shared" si="359"/>
        <v>0.49177153920619554</v>
      </c>
      <c r="O278" s="152">
        <f t="shared" si="391"/>
        <v>1.9363504356243948</v>
      </c>
      <c r="P278" s="152">
        <f t="shared" si="392"/>
        <v>2.7883446272991286</v>
      </c>
      <c r="Q278" s="191">
        <f t="shared" si="362"/>
        <v>9.6817521781219745E-2</v>
      </c>
      <c r="R278" s="191">
        <f t="shared" si="393"/>
        <v>0.12102190222652467</v>
      </c>
      <c r="S278" s="191">
        <f t="shared" si="394"/>
        <v>20</v>
      </c>
      <c r="T278" s="191">
        <f t="shared" si="395"/>
        <v>0.48028496437945256</v>
      </c>
      <c r="U278" s="191">
        <f t="shared" si="366"/>
        <v>3.4306068884246605</v>
      </c>
      <c r="V278" s="191">
        <f t="shared" si="367"/>
        <v>3.5454106622498953</v>
      </c>
      <c r="W278" s="175">
        <f t="shared" si="368"/>
        <v>350</v>
      </c>
      <c r="X278" s="386">
        <f t="shared" si="369"/>
        <v>143.3482632083263</v>
      </c>
      <c r="Z278" s="191">
        <f t="shared" si="370"/>
        <v>0.19670861568247827</v>
      </c>
      <c r="AA278" s="153">
        <f t="shared" si="371"/>
        <v>1.4520813165537272</v>
      </c>
      <c r="AB278" s="153">
        <f t="shared" si="396"/>
        <v>2.7770254714773877E-2</v>
      </c>
      <c r="AC278" s="153"/>
      <c r="AD278" s="153">
        <f t="shared" si="373"/>
        <v>1.1072834645669289</v>
      </c>
      <c r="AE278" s="317">
        <f t="shared" si="397"/>
        <v>746.57185185185187</v>
      </c>
      <c r="AF278" s="463">
        <f t="shared" si="398"/>
        <v>2.9066190944881887E-2</v>
      </c>
      <c r="AH278" s="153">
        <f t="shared" si="399"/>
        <v>0.29159659022109885</v>
      </c>
      <c r="AI278" s="153">
        <f t="shared" si="400"/>
        <v>0.48028496437945256</v>
      </c>
      <c r="AJ278" s="153">
        <f t="shared" si="401"/>
        <v>1.4446555291699648</v>
      </c>
      <c r="AL278" s="317">
        <f t="shared" si="402"/>
        <v>62</v>
      </c>
      <c r="AM278" s="147">
        <f t="shared" si="403"/>
        <v>143.3482632083263</v>
      </c>
      <c r="AO278">
        <f t="shared" si="381"/>
        <v>62</v>
      </c>
      <c r="AP278">
        <f t="shared" si="382"/>
        <v>143.3482632083263</v>
      </c>
      <c r="AR278" s="5">
        <f t="shared" si="406"/>
        <v>6.9760175506745554</v>
      </c>
      <c r="AS278" s="5">
        <f t="shared" si="385"/>
        <v>3.4306068884246605</v>
      </c>
      <c r="AT278" s="5">
        <f t="shared" si="386"/>
        <v>3.5454106622498949</v>
      </c>
      <c r="AU278" s="153">
        <f t="shared" si="387"/>
        <v>0.4917715392061956</v>
      </c>
      <c r="CI278" s="59">
        <f t="shared" si="404"/>
        <v>-50</v>
      </c>
    </row>
    <row r="279" spans="5:87" x14ac:dyDescent="0.25">
      <c r="E279" s="150">
        <v>63</v>
      </c>
      <c r="F279" s="191">
        <f t="shared" si="405"/>
        <v>6.3E-2</v>
      </c>
      <c r="G279" s="191">
        <f t="shared" si="388"/>
        <v>6.3E-2</v>
      </c>
      <c r="H279" s="191">
        <f t="shared" si="389"/>
        <v>1.26</v>
      </c>
      <c r="I279" s="191">
        <f t="shared" si="390"/>
        <v>1.008</v>
      </c>
      <c r="J279" s="472">
        <f t="shared" si="356"/>
        <v>21</v>
      </c>
      <c r="K279" s="386">
        <f t="shared" si="357"/>
        <v>20.32</v>
      </c>
      <c r="L279" s="386">
        <f t="shared" si="358"/>
        <v>41.32</v>
      </c>
      <c r="M279" s="386"/>
      <c r="N279" s="191">
        <f t="shared" si="359"/>
        <v>0.49177153920619554</v>
      </c>
      <c r="O279" s="152">
        <f t="shared" si="391"/>
        <v>1.9363504356243948</v>
      </c>
      <c r="P279" s="152">
        <f t="shared" si="392"/>
        <v>2.7883446272991286</v>
      </c>
      <c r="Q279" s="191">
        <f t="shared" si="362"/>
        <v>9.6817521781219745E-2</v>
      </c>
      <c r="R279" s="191">
        <f t="shared" si="393"/>
        <v>0.12102190222652467</v>
      </c>
      <c r="S279" s="191">
        <f t="shared" si="394"/>
        <v>20</v>
      </c>
      <c r="T279" s="191">
        <f t="shared" si="395"/>
        <v>0.48803149606299207</v>
      </c>
      <c r="U279" s="191">
        <f t="shared" si="366"/>
        <v>3.4859392575928001</v>
      </c>
      <c r="V279" s="191">
        <f t="shared" si="367"/>
        <v>3.6025947051894098</v>
      </c>
      <c r="W279" s="175">
        <f t="shared" si="368"/>
        <v>350</v>
      </c>
      <c r="X279" s="386">
        <f t="shared" si="369"/>
        <v>141.0728939510513</v>
      </c>
      <c r="Z279" s="191">
        <f t="shared" si="370"/>
        <v>0.19670861568247827</v>
      </c>
      <c r="AA279" s="153">
        <f t="shared" si="371"/>
        <v>1.4520813165537272</v>
      </c>
      <c r="AB279" s="153">
        <f t="shared" si="396"/>
        <v>2.7770254714773877E-2</v>
      </c>
      <c r="AC279" s="153"/>
      <c r="AD279" s="153">
        <f t="shared" si="373"/>
        <v>1.1072834645669289</v>
      </c>
      <c r="AE279" s="317">
        <f t="shared" si="397"/>
        <v>758.61333333333334</v>
      </c>
      <c r="AF279" s="463">
        <f t="shared" si="398"/>
        <v>2.9066190944881887E-2</v>
      </c>
      <c r="AH279" s="153">
        <f t="shared" si="399"/>
        <v>0.29393876913398137</v>
      </c>
      <c r="AI279" s="153">
        <f t="shared" si="400"/>
        <v>0.48803149606299207</v>
      </c>
      <c r="AJ279" s="153">
        <f t="shared" si="401"/>
        <v>1.4503937007874015</v>
      </c>
      <c r="AL279" s="317">
        <f t="shared" si="402"/>
        <v>63</v>
      </c>
      <c r="AM279" s="147">
        <f t="shared" si="403"/>
        <v>141.0728939510513</v>
      </c>
      <c r="AO279">
        <f t="shared" si="381"/>
        <v>63</v>
      </c>
      <c r="AP279">
        <f t="shared" si="382"/>
        <v>141.0728939510513</v>
      </c>
      <c r="AR279" s="5">
        <f t="shared" si="406"/>
        <v>7.0885339627822095</v>
      </c>
      <c r="AS279" s="5">
        <f t="shared" si="385"/>
        <v>3.4859392575928001</v>
      </c>
      <c r="AT279" s="5">
        <f t="shared" si="386"/>
        <v>3.6025947051894094</v>
      </c>
      <c r="AU279" s="153">
        <f t="shared" si="387"/>
        <v>0.49177153920619554</v>
      </c>
      <c r="CI279" s="59">
        <f t="shared" si="404"/>
        <v>-50</v>
      </c>
    </row>
    <row r="280" spans="5:87" x14ac:dyDescent="0.25">
      <c r="E280" s="150">
        <v>64</v>
      </c>
      <c r="F280" s="191">
        <f t="shared" si="405"/>
        <v>6.4000000000000001E-2</v>
      </c>
      <c r="G280" s="191">
        <f t="shared" ref="G280:G316" si="407">IF(PLOT_TYPE=1, E280/100*Iout2, min_I*EXP(Q280*rr/100))</f>
        <v>6.4000000000000001E-2</v>
      </c>
      <c r="H280" s="191">
        <f t="shared" ref="H280:H316" si="408">F280*Vout</f>
        <v>1.28</v>
      </c>
      <c r="I280" s="191">
        <f t="shared" ref="I280:I316" si="409">Vout2*G280</f>
        <v>1.024</v>
      </c>
      <c r="J280" s="472">
        <f t="shared" ref="J280:J316" si="410">VIN_max</f>
        <v>21</v>
      </c>
      <c r="K280" s="386">
        <f t="shared" ref="K280:K316" si="411">(S280+Vfwd1)*Nps</f>
        <v>20.32</v>
      </c>
      <c r="L280" s="386">
        <f t="shared" ref="L280:L316" si="412">(Vout+Vfwd1)*Nps+J280</f>
        <v>41.32</v>
      </c>
      <c r="M280" s="386"/>
      <c r="N280" s="191">
        <f t="shared" ref="N280:N316" si="413">(Vout+Vfwd1)*Nps/((Vout+Vfwd1)*Nps+J280)</f>
        <v>0.49177153920619554</v>
      </c>
      <c r="O280" s="152">
        <f t="shared" ref="O280:O311" si="414">N280*J280*Isw_max*0.5*Efficiency*Pout/(Pout+Pout2)</f>
        <v>1.9363504356243948</v>
      </c>
      <c r="P280" s="152">
        <f t="shared" ref="P280:P316" si="415">N280*J280*Isw_max*0.5*Efficiency*(Pout2/Pout_total)</f>
        <v>2.7883446272991286</v>
      </c>
      <c r="Q280" s="191">
        <f t="shared" ref="Q280:Q316" si="416">O280/Vout</f>
        <v>9.6817521781219745E-2</v>
      </c>
      <c r="R280" s="191">
        <f t="shared" ref="R280:R316" si="417">O280/Vout2</f>
        <v>0.12102190222652467</v>
      </c>
      <c r="S280" s="191">
        <f t="shared" ref="S280:S316" si="418">MIN(Vout,O280/F280)</f>
        <v>20</v>
      </c>
      <c r="T280" s="191">
        <f t="shared" ref="T280:T316" si="419">MIN(2*(Vout*F280+Vout2*G280)/(Efficiency*J280*N280), Isw_max)</f>
        <v>0.49577802774653174</v>
      </c>
      <c r="U280" s="191">
        <f t="shared" ref="U280:U316" si="420">L*T280/J280*1000000</f>
        <v>3.5412716267609405</v>
      </c>
      <c r="V280" s="191">
        <f t="shared" ref="V280:V316" si="421">L*T280/K280*1000000</f>
        <v>3.6597787481289248</v>
      </c>
      <c r="W280" s="175">
        <f t="shared" ref="W280:W316" si="422">IF(1/((350000*L)*(1/J280+1/K280))&gt;Isw_min, 350, 0.001/((Isw_min*L)*(1/J280+1/K280)))</f>
        <v>350</v>
      </c>
      <c r="X280" s="386">
        <f t="shared" ref="X280:X316" si="423">MIN(1/(U280+V280)*1000, 350)</f>
        <v>138.86862998306609</v>
      </c>
      <c r="Z280" s="191">
        <f t="shared" ref="Z280:Z316" si="424">1/((W280*1000*L)*(1/J280+1/K280))</f>
        <v>0.19670861568247827</v>
      </c>
      <c r="AA280" s="153">
        <f t="shared" ref="AA280:AA316" si="425">L*Z280/K280*1000000</f>
        <v>1.4520813165537272</v>
      </c>
      <c r="AB280" s="153">
        <f t="shared" ref="AB280:AB311" si="426">0.5*AA280*Z280*Nps*W280/1000*(Pout/(Pout+Pout2))</f>
        <v>2.7770254714773877E-2</v>
      </c>
      <c r="AC280" s="153"/>
      <c r="AD280" s="153">
        <f t="shared" ref="AD280:AD316" si="427">L*Isw_min/K280*1000000</f>
        <v>1.1072834645669289</v>
      </c>
      <c r="AE280" s="317">
        <f t="shared" ref="AE280:AE311" si="428">MAX(10, F280/(0.5*AD280/1000000*Isw_min*Nps)/1000*Pout_total/Pout)</f>
        <v>770.65481481481481</v>
      </c>
      <c r="AF280" s="463">
        <f t="shared" ref="AF280:AF316" si="429">0.5*AD280/1000000*Isw_min*Nps*W280*1000*(Pout/Pout_total)</f>
        <v>2.9066190944881887E-2</v>
      </c>
      <c r="AH280" s="153">
        <f t="shared" ref="AH280:AH316" si="430">SQRT((H280+I280)/(0.5*L*Fsw_DCM))</f>
        <v>0.29626243192721652</v>
      </c>
      <c r="AI280" s="153">
        <f t="shared" ref="AI280:AI311" si="431">MAX(IF(F280&gt;AB280,T280,AH280),Isw_min)</f>
        <v>0.49577802774653174</v>
      </c>
      <c r="AJ280" s="153">
        <f t="shared" ref="AJ280:AJ311" si="432">IF(F280&gt;AF280, (AI280-Isw_min)/1.08*0.8+1.2, AE280*0.2/350+1)</f>
        <v>1.4561318724048382</v>
      </c>
      <c r="AL280" s="317">
        <f t="shared" ref="AL280:AL316" si="433">F280*1000</f>
        <v>64</v>
      </c>
      <c r="AM280" s="147">
        <f t="shared" ref="AM280:AM316" si="434">IF(F280&gt;AF280, X280, AE280)</f>
        <v>138.86862998306609</v>
      </c>
      <c r="AO280">
        <f t="shared" ref="AO280:AO316" si="435">IF(H280&gt;O280, "",AL280)</f>
        <v>64</v>
      </c>
      <c r="AP280">
        <f t="shared" ref="AP280:AP316" si="436">IF(H280&gt;O280, "",AM280)</f>
        <v>138.86862998306609</v>
      </c>
      <c r="AR280" s="5">
        <f t="shared" si="406"/>
        <v>7.2010503748898653</v>
      </c>
      <c r="AS280" s="5">
        <f t="shared" si="385"/>
        <v>3.5412716267609405</v>
      </c>
      <c r="AT280" s="5">
        <f t="shared" si="386"/>
        <v>3.6597787481289248</v>
      </c>
      <c r="AU280" s="153">
        <f t="shared" si="387"/>
        <v>0.49177153920619554</v>
      </c>
      <c r="CI280" s="59">
        <f t="shared" ref="CI280:CI316" si="437">IF(ABS(F280-Ioutmax_Vinmax)&lt;Iout/200, AM280, -50)</f>
        <v>-50</v>
      </c>
    </row>
    <row r="281" spans="5:87" x14ac:dyDescent="0.25">
      <c r="E281" s="150">
        <v>65</v>
      </c>
      <c r="F281" s="191">
        <f t="shared" ref="F281:F312" si="438">IF(PLOT_TYPE=1, E281/100*Iout_max, min_I*EXP(O281*rr/100))</f>
        <v>6.5000000000000002E-2</v>
      </c>
      <c r="G281" s="191">
        <f t="shared" si="407"/>
        <v>6.5000000000000002E-2</v>
      </c>
      <c r="H281" s="191">
        <f t="shared" si="408"/>
        <v>1.3</v>
      </c>
      <c r="I281" s="191">
        <f t="shared" si="409"/>
        <v>1.04</v>
      </c>
      <c r="J281" s="472">
        <f t="shared" si="410"/>
        <v>21</v>
      </c>
      <c r="K281" s="386">
        <f t="shared" si="411"/>
        <v>20.32</v>
      </c>
      <c r="L281" s="386">
        <f t="shared" si="412"/>
        <v>41.32</v>
      </c>
      <c r="M281" s="386"/>
      <c r="N281" s="191">
        <f t="shared" si="413"/>
        <v>0.49177153920619554</v>
      </c>
      <c r="O281" s="152">
        <f t="shared" si="414"/>
        <v>1.9363504356243948</v>
      </c>
      <c r="P281" s="152">
        <f t="shared" si="415"/>
        <v>2.7883446272991286</v>
      </c>
      <c r="Q281" s="191">
        <f t="shared" si="416"/>
        <v>9.6817521781219745E-2</v>
      </c>
      <c r="R281" s="191">
        <f t="shared" si="417"/>
        <v>0.12102190222652467</v>
      </c>
      <c r="S281" s="191">
        <f t="shared" si="418"/>
        <v>20</v>
      </c>
      <c r="T281" s="191">
        <f t="shared" si="419"/>
        <v>0.50352455943007113</v>
      </c>
      <c r="U281" s="191">
        <f t="shared" si="420"/>
        <v>3.5966039959290792</v>
      </c>
      <c r="V281" s="191">
        <f t="shared" si="421"/>
        <v>3.716962791068438</v>
      </c>
      <c r="W281" s="175">
        <f t="shared" si="422"/>
        <v>350</v>
      </c>
      <c r="X281" s="386">
        <f t="shared" si="423"/>
        <v>136.73218952178817</v>
      </c>
      <c r="Z281" s="191">
        <f t="shared" si="424"/>
        <v>0.19670861568247827</v>
      </c>
      <c r="AA281" s="153">
        <f t="shared" si="425"/>
        <v>1.4520813165537272</v>
      </c>
      <c r="AB281" s="153">
        <f t="shared" si="426"/>
        <v>2.7770254714773877E-2</v>
      </c>
      <c r="AC281" s="153"/>
      <c r="AD281" s="153">
        <f t="shared" si="427"/>
        <v>1.1072834645669289</v>
      </c>
      <c r="AE281" s="317">
        <f t="shared" si="428"/>
        <v>782.6962962962964</v>
      </c>
      <c r="AF281" s="463">
        <f t="shared" si="429"/>
        <v>2.9066190944881887E-2</v>
      </c>
      <c r="AH281" s="153">
        <f t="shared" si="430"/>
        <v>0.29856801091687157</v>
      </c>
      <c r="AI281" s="153">
        <f t="shared" si="431"/>
        <v>0.50352455943007113</v>
      </c>
      <c r="AJ281" s="153">
        <f t="shared" si="432"/>
        <v>1.4618700440222749</v>
      </c>
      <c r="AL281" s="317">
        <f t="shared" si="433"/>
        <v>65</v>
      </c>
      <c r="AM281" s="147">
        <f t="shared" si="434"/>
        <v>136.73218952178817</v>
      </c>
      <c r="AO281">
        <f t="shared" si="435"/>
        <v>65</v>
      </c>
      <c r="AP281">
        <f t="shared" si="436"/>
        <v>136.73218952178817</v>
      </c>
      <c r="AR281" s="5">
        <f t="shared" si="406"/>
        <v>7.3135667869975176</v>
      </c>
      <c r="AS281" s="5">
        <f t="shared" si="385"/>
        <v>3.5966039959290792</v>
      </c>
      <c r="AT281" s="5">
        <f t="shared" si="386"/>
        <v>3.7169627910684384</v>
      </c>
      <c r="AU281" s="153">
        <f t="shared" si="387"/>
        <v>0.49177153920619554</v>
      </c>
      <c r="CI281" s="59">
        <f t="shared" si="437"/>
        <v>-50</v>
      </c>
    </row>
    <row r="282" spans="5:87" x14ac:dyDescent="0.25">
      <c r="E282" s="150">
        <v>66</v>
      </c>
      <c r="F282" s="191">
        <f t="shared" si="438"/>
        <v>6.6000000000000003E-2</v>
      </c>
      <c r="G282" s="191">
        <f t="shared" si="407"/>
        <v>6.6000000000000003E-2</v>
      </c>
      <c r="H282" s="191">
        <f t="shared" si="408"/>
        <v>1.32</v>
      </c>
      <c r="I282" s="191">
        <f t="shared" si="409"/>
        <v>1.056</v>
      </c>
      <c r="J282" s="472">
        <f t="shared" si="410"/>
        <v>21</v>
      </c>
      <c r="K282" s="386">
        <f t="shared" si="411"/>
        <v>20.32</v>
      </c>
      <c r="L282" s="386">
        <f t="shared" si="412"/>
        <v>41.32</v>
      </c>
      <c r="M282" s="386"/>
      <c r="N282" s="191">
        <f t="shared" si="413"/>
        <v>0.49177153920619554</v>
      </c>
      <c r="O282" s="152">
        <f t="shared" si="414"/>
        <v>1.9363504356243948</v>
      </c>
      <c r="P282" s="152">
        <f t="shared" si="415"/>
        <v>2.7883446272991286</v>
      </c>
      <c r="Q282" s="191">
        <f t="shared" si="416"/>
        <v>9.6817521781219745E-2</v>
      </c>
      <c r="R282" s="191">
        <f t="shared" si="417"/>
        <v>0.12102190222652467</v>
      </c>
      <c r="S282" s="191">
        <f t="shared" si="418"/>
        <v>20</v>
      </c>
      <c r="T282" s="191">
        <f t="shared" si="419"/>
        <v>0.5112710911136108</v>
      </c>
      <c r="U282" s="191">
        <f t="shared" si="420"/>
        <v>3.6519363650972196</v>
      </c>
      <c r="V282" s="191">
        <f t="shared" si="421"/>
        <v>3.7741468340079529</v>
      </c>
      <c r="W282" s="175">
        <f t="shared" si="422"/>
        <v>350</v>
      </c>
      <c r="X282" s="386">
        <f t="shared" si="423"/>
        <v>134.66048968054895</v>
      </c>
      <c r="Z282" s="191">
        <f t="shared" si="424"/>
        <v>0.19670861568247827</v>
      </c>
      <c r="AA282" s="153">
        <f t="shared" si="425"/>
        <v>1.4520813165537272</v>
      </c>
      <c r="AB282" s="153">
        <f t="shared" si="426"/>
        <v>2.7770254714773877E-2</v>
      </c>
      <c r="AC282" s="153"/>
      <c r="AD282" s="153">
        <f t="shared" si="427"/>
        <v>1.1072834645669289</v>
      </c>
      <c r="AE282" s="317">
        <f t="shared" si="428"/>
        <v>794.73777777777786</v>
      </c>
      <c r="AF282" s="463">
        <f t="shared" si="429"/>
        <v>2.9066190944881887E-2</v>
      </c>
      <c r="AH282" s="153">
        <f t="shared" si="430"/>
        <v>0.30085592185344423</v>
      </c>
      <c r="AI282" s="153">
        <f t="shared" si="431"/>
        <v>0.5112710911136108</v>
      </c>
      <c r="AJ282" s="153">
        <f t="shared" si="432"/>
        <v>1.4676082156397117</v>
      </c>
      <c r="AL282" s="317">
        <f t="shared" si="433"/>
        <v>66</v>
      </c>
      <c r="AM282" s="147">
        <f t="shared" si="434"/>
        <v>134.66048968054895</v>
      </c>
      <c r="AO282">
        <f t="shared" si="435"/>
        <v>66</v>
      </c>
      <c r="AP282">
        <f t="shared" si="436"/>
        <v>134.66048968054895</v>
      </c>
      <c r="AR282" s="5">
        <f t="shared" si="406"/>
        <v>7.4260831991051726</v>
      </c>
      <c r="AS282" s="5">
        <f t="shared" si="385"/>
        <v>3.6519363650972196</v>
      </c>
      <c r="AT282" s="5">
        <f t="shared" si="386"/>
        <v>3.7741468340079529</v>
      </c>
      <c r="AU282" s="153">
        <f t="shared" si="387"/>
        <v>0.4917715392061956</v>
      </c>
      <c r="CI282" s="59">
        <f t="shared" si="437"/>
        <v>-50</v>
      </c>
    </row>
    <row r="283" spans="5:87" x14ac:dyDescent="0.25">
      <c r="E283" s="150">
        <v>67</v>
      </c>
      <c r="F283" s="191">
        <f t="shared" si="438"/>
        <v>6.7000000000000004E-2</v>
      </c>
      <c r="G283" s="191">
        <f t="shared" si="407"/>
        <v>6.7000000000000004E-2</v>
      </c>
      <c r="H283" s="191">
        <f t="shared" si="408"/>
        <v>1.34</v>
      </c>
      <c r="I283" s="191">
        <f t="shared" si="409"/>
        <v>1.0720000000000001</v>
      </c>
      <c r="J283" s="472">
        <f t="shared" si="410"/>
        <v>21</v>
      </c>
      <c r="K283" s="386">
        <f t="shared" si="411"/>
        <v>20.32</v>
      </c>
      <c r="L283" s="386">
        <f t="shared" si="412"/>
        <v>41.32</v>
      </c>
      <c r="M283" s="386"/>
      <c r="N283" s="191">
        <f t="shared" si="413"/>
        <v>0.49177153920619554</v>
      </c>
      <c r="O283" s="152">
        <f t="shared" si="414"/>
        <v>1.9363504356243948</v>
      </c>
      <c r="P283" s="152">
        <f t="shared" si="415"/>
        <v>2.7883446272991286</v>
      </c>
      <c r="Q283" s="191">
        <f t="shared" si="416"/>
        <v>9.6817521781219745E-2</v>
      </c>
      <c r="R283" s="191">
        <f t="shared" si="417"/>
        <v>0.12102190222652467</v>
      </c>
      <c r="S283" s="191">
        <f t="shared" si="418"/>
        <v>20</v>
      </c>
      <c r="T283" s="191">
        <f t="shared" si="419"/>
        <v>0.51901762279715036</v>
      </c>
      <c r="U283" s="191">
        <f t="shared" si="420"/>
        <v>3.7072687342653592</v>
      </c>
      <c r="V283" s="191">
        <f t="shared" si="421"/>
        <v>3.8313308769474679</v>
      </c>
      <c r="W283" s="175">
        <f t="shared" si="422"/>
        <v>350</v>
      </c>
      <c r="X283" s="386">
        <f t="shared" si="423"/>
        <v>132.65063162561535</v>
      </c>
      <c r="Z283" s="191">
        <f t="shared" si="424"/>
        <v>0.19670861568247827</v>
      </c>
      <c r="AA283" s="153">
        <f t="shared" si="425"/>
        <v>1.4520813165537272</v>
      </c>
      <c r="AB283" s="153">
        <f t="shared" si="426"/>
        <v>2.7770254714773877E-2</v>
      </c>
      <c r="AC283" s="153"/>
      <c r="AD283" s="153">
        <f t="shared" si="427"/>
        <v>1.1072834645669289</v>
      </c>
      <c r="AE283" s="317">
        <f t="shared" si="428"/>
        <v>806.77925925925933</v>
      </c>
      <c r="AF283" s="463">
        <f t="shared" si="429"/>
        <v>2.9066190944881887E-2</v>
      </c>
      <c r="AH283" s="153">
        <f t="shared" si="430"/>
        <v>0.30312656479713929</v>
      </c>
      <c r="AI283" s="153">
        <f t="shared" si="431"/>
        <v>0.51901762279715036</v>
      </c>
      <c r="AJ283" s="153">
        <f t="shared" si="432"/>
        <v>1.4733463872571484</v>
      </c>
      <c r="AL283" s="317">
        <f t="shared" si="433"/>
        <v>67</v>
      </c>
      <c r="AM283" s="147">
        <f t="shared" si="434"/>
        <v>132.65063162561535</v>
      </c>
      <c r="AO283">
        <f t="shared" si="435"/>
        <v>67</v>
      </c>
      <c r="AP283">
        <f t="shared" si="436"/>
        <v>132.65063162561535</v>
      </c>
      <c r="AR283" s="5">
        <f t="shared" si="406"/>
        <v>7.5385996112128284</v>
      </c>
      <c r="AS283" s="5">
        <f t="shared" si="385"/>
        <v>3.7072687342653592</v>
      </c>
      <c r="AT283" s="5">
        <f t="shared" si="386"/>
        <v>3.8313308769474692</v>
      </c>
      <c r="AU283" s="153">
        <f t="shared" si="387"/>
        <v>0.49177153920619543</v>
      </c>
      <c r="CI283" s="59">
        <f t="shared" si="437"/>
        <v>-50</v>
      </c>
    </row>
    <row r="284" spans="5:87" x14ac:dyDescent="0.25">
      <c r="E284" s="150">
        <v>68</v>
      </c>
      <c r="F284" s="191">
        <f t="shared" si="438"/>
        <v>6.8000000000000005E-2</v>
      </c>
      <c r="G284" s="191">
        <f t="shared" si="407"/>
        <v>6.8000000000000005E-2</v>
      </c>
      <c r="H284" s="191">
        <f t="shared" si="408"/>
        <v>1.36</v>
      </c>
      <c r="I284" s="191">
        <f t="shared" si="409"/>
        <v>1.0880000000000001</v>
      </c>
      <c r="J284" s="472">
        <f t="shared" si="410"/>
        <v>21</v>
      </c>
      <c r="K284" s="386">
        <f t="shared" si="411"/>
        <v>20.32</v>
      </c>
      <c r="L284" s="386">
        <f t="shared" si="412"/>
        <v>41.32</v>
      </c>
      <c r="M284" s="386"/>
      <c r="N284" s="191">
        <f t="shared" si="413"/>
        <v>0.49177153920619554</v>
      </c>
      <c r="O284" s="152">
        <f t="shared" si="414"/>
        <v>1.9363504356243948</v>
      </c>
      <c r="P284" s="152">
        <f t="shared" si="415"/>
        <v>2.7883446272991286</v>
      </c>
      <c r="Q284" s="191">
        <f t="shared" si="416"/>
        <v>9.6817521781219745E-2</v>
      </c>
      <c r="R284" s="191">
        <f t="shared" si="417"/>
        <v>0.12102190222652467</v>
      </c>
      <c r="S284" s="191">
        <f t="shared" si="418"/>
        <v>20</v>
      </c>
      <c r="T284" s="191">
        <f t="shared" si="419"/>
        <v>0.52676415448068992</v>
      </c>
      <c r="U284" s="191">
        <f t="shared" si="420"/>
        <v>3.7626011034334987</v>
      </c>
      <c r="V284" s="191">
        <f t="shared" si="421"/>
        <v>3.8885149198869819</v>
      </c>
      <c r="W284" s="175">
        <f t="shared" si="422"/>
        <v>350</v>
      </c>
      <c r="X284" s="386">
        <f t="shared" si="423"/>
        <v>130.69988704288573</v>
      </c>
      <c r="Z284" s="191">
        <f t="shared" si="424"/>
        <v>0.19670861568247827</v>
      </c>
      <c r="AA284" s="153">
        <f t="shared" si="425"/>
        <v>1.4520813165537272</v>
      </c>
      <c r="AB284" s="153">
        <f t="shared" si="426"/>
        <v>2.7770254714773877E-2</v>
      </c>
      <c r="AC284" s="153"/>
      <c r="AD284" s="153">
        <f t="shared" si="427"/>
        <v>1.1072834645669289</v>
      </c>
      <c r="AE284" s="317">
        <f t="shared" si="428"/>
        <v>818.82074074074092</v>
      </c>
      <c r="AF284" s="463">
        <f t="shared" si="429"/>
        <v>2.9066190944881887E-2</v>
      </c>
      <c r="AH284" s="153">
        <f t="shared" si="430"/>
        <v>0.3053803249345689</v>
      </c>
      <c r="AI284" s="153">
        <f t="shared" si="431"/>
        <v>0.52676415448068992</v>
      </c>
      <c r="AJ284" s="153">
        <f t="shared" si="432"/>
        <v>1.4790845588745851</v>
      </c>
      <c r="AL284" s="317">
        <f t="shared" si="433"/>
        <v>68</v>
      </c>
      <c r="AM284" s="147">
        <f t="shared" si="434"/>
        <v>130.69988704288573</v>
      </c>
      <c r="AO284">
        <f t="shared" si="435"/>
        <v>68</v>
      </c>
      <c r="AP284">
        <f t="shared" si="436"/>
        <v>130.69988704288573</v>
      </c>
      <c r="AR284" s="5">
        <f t="shared" si="406"/>
        <v>7.6511160233204816</v>
      </c>
      <c r="AS284" s="5">
        <f t="shared" si="385"/>
        <v>3.7626011034334987</v>
      </c>
      <c r="AT284" s="5">
        <f t="shared" si="386"/>
        <v>3.8885149198869828</v>
      </c>
      <c r="AU284" s="153">
        <f t="shared" si="387"/>
        <v>0.49177153920619548</v>
      </c>
      <c r="CI284" s="59">
        <f t="shared" si="437"/>
        <v>-50</v>
      </c>
    </row>
    <row r="285" spans="5:87" x14ac:dyDescent="0.25">
      <c r="E285" s="150">
        <v>69</v>
      </c>
      <c r="F285" s="191">
        <f t="shared" si="438"/>
        <v>6.8999999999999992E-2</v>
      </c>
      <c r="G285" s="191">
        <f t="shared" si="407"/>
        <v>6.8999999999999992E-2</v>
      </c>
      <c r="H285" s="191">
        <f t="shared" si="408"/>
        <v>1.38</v>
      </c>
      <c r="I285" s="191">
        <f t="shared" si="409"/>
        <v>1.1039999999999999</v>
      </c>
      <c r="J285" s="472">
        <f t="shared" si="410"/>
        <v>21</v>
      </c>
      <c r="K285" s="386">
        <f t="shared" si="411"/>
        <v>20.32</v>
      </c>
      <c r="L285" s="386">
        <f t="shared" si="412"/>
        <v>41.32</v>
      </c>
      <c r="M285" s="386"/>
      <c r="N285" s="191">
        <f t="shared" si="413"/>
        <v>0.49177153920619554</v>
      </c>
      <c r="O285" s="152">
        <f t="shared" si="414"/>
        <v>1.9363504356243948</v>
      </c>
      <c r="P285" s="152">
        <f t="shared" si="415"/>
        <v>2.7883446272991286</v>
      </c>
      <c r="Q285" s="191">
        <f t="shared" si="416"/>
        <v>9.6817521781219745E-2</v>
      </c>
      <c r="R285" s="191">
        <f t="shared" si="417"/>
        <v>0.12102190222652467</v>
      </c>
      <c r="S285" s="191">
        <f t="shared" si="418"/>
        <v>20</v>
      </c>
      <c r="T285" s="191">
        <f t="shared" si="419"/>
        <v>0.53451068616422948</v>
      </c>
      <c r="U285" s="191">
        <f t="shared" si="420"/>
        <v>3.8179334726016387</v>
      </c>
      <c r="V285" s="191">
        <f t="shared" si="421"/>
        <v>3.945698962826496</v>
      </c>
      <c r="W285" s="175">
        <f t="shared" si="422"/>
        <v>350</v>
      </c>
      <c r="X285" s="386">
        <f t="shared" si="423"/>
        <v>128.80568578139466</v>
      </c>
      <c r="Z285" s="191">
        <f t="shared" si="424"/>
        <v>0.19670861568247827</v>
      </c>
      <c r="AA285" s="153">
        <f t="shared" si="425"/>
        <v>1.4520813165537272</v>
      </c>
      <c r="AB285" s="153">
        <f t="shared" si="426"/>
        <v>2.7770254714773877E-2</v>
      </c>
      <c r="AC285" s="153"/>
      <c r="AD285" s="153">
        <f t="shared" si="427"/>
        <v>1.1072834645669289</v>
      </c>
      <c r="AE285" s="317">
        <f t="shared" si="428"/>
        <v>830.86222222222216</v>
      </c>
      <c r="AF285" s="463">
        <f t="shared" si="429"/>
        <v>2.9066190944881887E-2</v>
      </c>
      <c r="AH285" s="153">
        <f t="shared" si="430"/>
        <v>0.30761757334159479</v>
      </c>
      <c r="AI285" s="153">
        <f t="shared" si="431"/>
        <v>0.53451068616422948</v>
      </c>
      <c r="AJ285" s="153">
        <f t="shared" si="432"/>
        <v>1.4848227304920218</v>
      </c>
      <c r="AL285" s="317">
        <f t="shared" si="433"/>
        <v>68.999999999999986</v>
      </c>
      <c r="AM285" s="147">
        <f t="shared" si="434"/>
        <v>128.80568578139466</v>
      </c>
      <c r="AO285">
        <f t="shared" si="435"/>
        <v>68.999999999999986</v>
      </c>
      <c r="AP285">
        <f t="shared" si="436"/>
        <v>128.80568578139466</v>
      </c>
      <c r="AR285" s="5">
        <f t="shared" si="406"/>
        <v>7.7636324354281339</v>
      </c>
      <c r="AS285" s="5">
        <f t="shared" si="385"/>
        <v>3.8179334726016387</v>
      </c>
      <c r="AT285" s="5">
        <f t="shared" si="386"/>
        <v>3.9456989628264951</v>
      </c>
      <c r="AU285" s="153">
        <f t="shared" si="387"/>
        <v>0.49177153920619565</v>
      </c>
      <c r="CI285" s="59">
        <f t="shared" si="437"/>
        <v>-50</v>
      </c>
    </row>
    <row r="286" spans="5:87" x14ac:dyDescent="0.25">
      <c r="E286" s="150">
        <v>70</v>
      </c>
      <c r="F286" s="191">
        <f t="shared" si="438"/>
        <v>6.9999999999999993E-2</v>
      </c>
      <c r="G286" s="191">
        <f t="shared" si="407"/>
        <v>6.9999999999999993E-2</v>
      </c>
      <c r="H286" s="191">
        <f t="shared" si="408"/>
        <v>1.4</v>
      </c>
      <c r="I286" s="191">
        <f t="shared" si="409"/>
        <v>1.1199999999999999</v>
      </c>
      <c r="J286" s="472">
        <f t="shared" si="410"/>
        <v>21</v>
      </c>
      <c r="K286" s="386">
        <f t="shared" si="411"/>
        <v>20.32</v>
      </c>
      <c r="L286" s="386">
        <f t="shared" si="412"/>
        <v>41.32</v>
      </c>
      <c r="M286" s="386"/>
      <c r="N286" s="191">
        <f t="shared" si="413"/>
        <v>0.49177153920619554</v>
      </c>
      <c r="O286" s="152">
        <f t="shared" si="414"/>
        <v>1.9363504356243948</v>
      </c>
      <c r="P286" s="152">
        <f t="shared" si="415"/>
        <v>2.7883446272991286</v>
      </c>
      <c r="Q286" s="191">
        <f t="shared" si="416"/>
        <v>9.6817521781219745E-2</v>
      </c>
      <c r="R286" s="191">
        <f t="shared" si="417"/>
        <v>0.12102190222652467</v>
      </c>
      <c r="S286" s="191">
        <f t="shared" si="418"/>
        <v>20</v>
      </c>
      <c r="T286" s="191">
        <f t="shared" si="419"/>
        <v>0.54225721784776892</v>
      </c>
      <c r="U286" s="191">
        <f t="shared" si="420"/>
        <v>3.8732658417697774</v>
      </c>
      <c r="V286" s="191">
        <f t="shared" si="421"/>
        <v>4.0028830057660105</v>
      </c>
      <c r="W286" s="175">
        <f t="shared" si="422"/>
        <v>350</v>
      </c>
      <c r="X286" s="386">
        <f t="shared" si="423"/>
        <v>126.96560455594616</v>
      </c>
      <c r="Z286" s="191">
        <f t="shared" si="424"/>
        <v>0.19670861568247827</v>
      </c>
      <c r="AA286" s="153">
        <f t="shared" si="425"/>
        <v>1.4520813165537272</v>
      </c>
      <c r="AB286" s="153">
        <f t="shared" si="426"/>
        <v>2.7770254714773877E-2</v>
      </c>
      <c r="AC286" s="153"/>
      <c r="AD286" s="153">
        <f t="shared" si="427"/>
        <v>1.1072834645669289</v>
      </c>
      <c r="AE286" s="317">
        <f t="shared" si="428"/>
        <v>842.90370370370374</v>
      </c>
      <c r="AF286" s="463">
        <f t="shared" si="429"/>
        <v>2.9066190944881887E-2</v>
      </c>
      <c r="AH286" s="153">
        <f t="shared" si="430"/>
        <v>0.30983866769659335</v>
      </c>
      <c r="AI286" s="153">
        <f t="shared" si="431"/>
        <v>0.54225721784776892</v>
      </c>
      <c r="AJ286" s="153">
        <f t="shared" si="432"/>
        <v>1.4905609021094584</v>
      </c>
      <c r="AL286" s="317">
        <f t="shared" si="433"/>
        <v>69.999999999999986</v>
      </c>
      <c r="AM286" s="147">
        <f t="shared" si="434"/>
        <v>126.96560455594616</v>
      </c>
      <c r="AO286">
        <f t="shared" si="435"/>
        <v>69.999999999999986</v>
      </c>
      <c r="AP286">
        <f t="shared" si="436"/>
        <v>126.96560455594616</v>
      </c>
      <c r="AR286" s="5">
        <f t="shared" si="406"/>
        <v>7.8761488475357897</v>
      </c>
      <c r="AS286" s="5">
        <f t="shared" si="385"/>
        <v>3.8732658417697774</v>
      </c>
      <c r="AT286" s="5">
        <f t="shared" si="386"/>
        <v>4.0028830057660123</v>
      </c>
      <c r="AU286" s="153">
        <f t="shared" si="387"/>
        <v>0.49177153920619543</v>
      </c>
      <c r="CI286" s="59">
        <f t="shared" si="437"/>
        <v>-50</v>
      </c>
    </row>
    <row r="287" spans="5:87" x14ac:dyDescent="0.25">
      <c r="E287" s="150">
        <v>71</v>
      </c>
      <c r="F287" s="191">
        <f t="shared" si="438"/>
        <v>7.0999999999999994E-2</v>
      </c>
      <c r="G287" s="191">
        <f t="shared" si="407"/>
        <v>7.0999999999999994E-2</v>
      </c>
      <c r="H287" s="191">
        <f t="shared" si="408"/>
        <v>1.42</v>
      </c>
      <c r="I287" s="191">
        <f t="shared" si="409"/>
        <v>1.1359999999999999</v>
      </c>
      <c r="J287" s="472">
        <f t="shared" si="410"/>
        <v>21</v>
      </c>
      <c r="K287" s="386">
        <f t="shared" si="411"/>
        <v>20.32</v>
      </c>
      <c r="L287" s="386">
        <f t="shared" si="412"/>
        <v>41.32</v>
      </c>
      <c r="M287" s="386"/>
      <c r="N287" s="191">
        <f t="shared" si="413"/>
        <v>0.49177153920619554</v>
      </c>
      <c r="O287" s="152">
        <f t="shared" si="414"/>
        <v>1.9363504356243948</v>
      </c>
      <c r="P287" s="152">
        <f t="shared" si="415"/>
        <v>2.7883446272991286</v>
      </c>
      <c r="Q287" s="191">
        <f t="shared" si="416"/>
        <v>9.6817521781219745E-2</v>
      </c>
      <c r="R287" s="191">
        <f t="shared" si="417"/>
        <v>0.12102190222652467</v>
      </c>
      <c r="S287" s="191">
        <f t="shared" si="418"/>
        <v>20</v>
      </c>
      <c r="T287" s="191">
        <f t="shared" si="419"/>
        <v>0.55000374953130859</v>
      </c>
      <c r="U287" s="191">
        <f t="shared" si="420"/>
        <v>3.9285982109379178</v>
      </c>
      <c r="V287" s="191">
        <f t="shared" si="421"/>
        <v>4.060067048705525</v>
      </c>
      <c r="W287" s="175">
        <f t="shared" si="422"/>
        <v>350</v>
      </c>
      <c r="X287" s="386">
        <f t="shared" si="423"/>
        <v>125.17735660445395</v>
      </c>
      <c r="Z287" s="191">
        <f t="shared" si="424"/>
        <v>0.19670861568247827</v>
      </c>
      <c r="AA287" s="153">
        <f t="shared" si="425"/>
        <v>1.4520813165537272</v>
      </c>
      <c r="AB287" s="153">
        <f t="shared" si="426"/>
        <v>2.7770254714773877E-2</v>
      </c>
      <c r="AC287" s="153"/>
      <c r="AD287" s="153">
        <f t="shared" si="427"/>
        <v>1.1072834645669289</v>
      </c>
      <c r="AE287" s="317">
        <f t="shared" si="428"/>
        <v>854.94518518518521</v>
      </c>
      <c r="AF287" s="463">
        <f t="shared" si="429"/>
        <v>2.9066190944881887E-2</v>
      </c>
      <c r="AH287" s="153">
        <f t="shared" si="430"/>
        <v>0.31204395294802395</v>
      </c>
      <c r="AI287" s="153">
        <f t="shared" si="431"/>
        <v>0.55000374953130859</v>
      </c>
      <c r="AJ287" s="153">
        <f t="shared" si="432"/>
        <v>1.4962990737268953</v>
      </c>
      <c r="AL287" s="317">
        <f t="shared" si="433"/>
        <v>71</v>
      </c>
      <c r="AM287" s="147">
        <f t="shared" si="434"/>
        <v>125.17735660445395</v>
      </c>
      <c r="AO287">
        <f t="shared" si="435"/>
        <v>71</v>
      </c>
      <c r="AP287">
        <f t="shared" si="436"/>
        <v>125.17735660445395</v>
      </c>
      <c r="AR287" s="5">
        <f t="shared" si="406"/>
        <v>7.9886652596434429</v>
      </c>
      <c r="AS287" s="5">
        <f t="shared" si="385"/>
        <v>3.9285982109379178</v>
      </c>
      <c r="AT287" s="5">
        <f t="shared" si="386"/>
        <v>4.060067048705525</v>
      </c>
      <c r="AU287" s="153">
        <f t="shared" si="387"/>
        <v>0.49177153920619554</v>
      </c>
      <c r="CI287" s="59">
        <f t="shared" si="437"/>
        <v>-50</v>
      </c>
    </row>
    <row r="288" spans="5:87" x14ac:dyDescent="0.25">
      <c r="E288" s="150">
        <v>72</v>
      </c>
      <c r="F288" s="191">
        <f t="shared" si="438"/>
        <v>7.1999999999999995E-2</v>
      </c>
      <c r="G288" s="191">
        <f t="shared" si="407"/>
        <v>7.1999999999999995E-2</v>
      </c>
      <c r="H288" s="191">
        <f t="shared" si="408"/>
        <v>1.44</v>
      </c>
      <c r="I288" s="191">
        <f t="shared" si="409"/>
        <v>1.1519999999999999</v>
      </c>
      <c r="J288" s="472">
        <f t="shared" si="410"/>
        <v>21</v>
      </c>
      <c r="K288" s="386">
        <f t="shared" si="411"/>
        <v>20.32</v>
      </c>
      <c r="L288" s="386">
        <f t="shared" si="412"/>
        <v>41.32</v>
      </c>
      <c r="M288" s="386"/>
      <c r="N288" s="191">
        <f t="shared" si="413"/>
        <v>0.49177153920619554</v>
      </c>
      <c r="O288" s="152">
        <f t="shared" si="414"/>
        <v>1.9363504356243948</v>
      </c>
      <c r="P288" s="152">
        <f t="shared" si="415"/>
        <v>2.7883446272991286</v>
      </c>
      <c r="Q288" s="191">
        <f t="shared" si="416"/>
        <v>9.6817521781219745E-2</v>
      </c>
      <c r="R288" s="191">
        <f t="shared" si="417"/>
        <v>0.12102190222652467</v>
      </c>
      <c r="S288" s="191">
        <f t="shared" si="418"/>
        <v>20</v>
      </c>
      <c r="T288" s="191">
        <f t="shared" si="419"/>
        <v>0.55775028121484804</v>
      </c>
      <c r="U288" s="191">
        <f t="shared" si="420"/>
        <v>3.9839305801060574</v>
      </c>
      <c r="V288" s="191">
        <f t="shared" si="421"/>
        <v>4.1172510916450396</v>
      </c>
      <c r="W288" s="175">
        <f t="shared" si="422"/>
        <v>350</v>
      </c>
      <c r="X288" s="386">
        <f t="shared" si="423"/>
        <v>123.43878220716989</v>
      </c>
      <c r="Z288" s="191">
        <f t="shared" si="424"/>
        <v>0.19670861568247827</v>
      </c>
      <c r="AA288" s="153">
        <f t="shared" si="425"/>
        <v>1.4520813165537272</v>
      </c>
      <c r="AB288" s="153">
        <f t="shared" si="426"/>
        <v>2.7770254714773877E-2</v>
      </c>
      <c r="AC288" s="153"/>
      <c r="AD288" s="153">
        <f t="shared" si="427"/>
        <v>1.1072834645669289</v>
      </c>
      <c r="AE288" s="317">
        <f t="shared" si="428"/>
        <v>866.98666666666668</v>
      </c>
      <c r="AF288" s="463">
        <f t="shared" si="429"/>
        <v>2.9066190944881887E-2</v>
      </c>
      <c r="AH288" s="153">
        <f t="shared" si="430"/>
        <v>0.31423376193982905</v>
      </c>
      <c r="AI288" s="153">
        <f t="shared" si="431"/>
        <v>0.55775028121484804</v>
      </c>
      <c r="AJ288" s="153">
        <f t="shared" si="432"/>
        <v>1.5020372453443318</v>
      </c>
      <c r="AL288" s="317">
        <f t="shared" si="433"/>
        <v>72</v>
      </c>
      <c r="AM288" s="147">
        <f t="shared" si="434"/>
        <v>123.43878220716989</v>
      </c>
      <c r="AO288">
        <f t="shared" si="435"/>
        <v>72</v>
      </c>
      <c r="AP288">
        <f t="shared" si="436"/>
        <v>123.43878220716989</v>
      </c>
      <c r="AR288" s="5">
        <f t="shared" si="406"/>
        <v>8.101181671751096</v>
      </c>
      <c r="AS288" s="5">
        <f t="shared" si="385"/>
        <v>3.9839305801060574</v>
      </c>
      <c r="AT288" s="5">
        <f t="shared" si="386"/>
        <v>4.1172510916450387</v>
      </c>
      <c r="AU288" s="153">
        <f t="shared" si="387"/>
        <v>0.4917715392061956</v>
      </c>
      <c r="CI288" s="59">
        <f t="shared" si="437"/>
        <v>-50</v>
      </c>
    </row>
    <row r="289" spans="5:87" x14ac:dyDescent="0.25">
      <c r="E289" s="150">
        <v>73</v>
      </c>
      <c r="F289" s="191">
        <f t="shared" si="438"/>
        <v>7.2999999999999995E-2</v>
      </c>
      <c r="G289" s="191">
        <f t="shared" si="407"/>
        <v>7.2999999999999995E-2</v>
      </c>
      <c r="H289" s="191">
        <f t="shared" si="408"/>
        <v>1.46</v>
      </c>
      <c r="I289" s="191">
        <f t="shared" si="409"/>
        <v>1.1679999999999999</v>
      </c>
      <c r="J289" s="472">
        <f t="shared" si="410"/>
        <v>21</v>
      </c>
      <c r="K289" s="386">
        <f t="shared" si="411"/>
        <v>20.32</v>
      </c>
      <c r="L289" s="386">
        <f t="shared" si="412"/>
        <v>41.32</v>
      </c>
      <c r="M289" s="386"/>
      <c r="N289" s="191">
        <f t="shared" si="413"/>
        <v>0.49177153920619554</v>
      </c>
      <c r="O289" s="152">
        <f t="shared" si="414"/>
        <v>1.9363504356243948</v>
      </c>
      <c r="P289" s="152">
        <f t="shared" si="415"/>
        <v>2.7883446272991286</v>
      </c>
      <c r="Q289" s="191">
        <f t="shared" si="416"/>
        <v>9.6817521781219745E-2</v>
      </c>
      <c r="R289" s="191">
        <f t="shared" si="417"/>
        <v>0.12102190222652467</v>
      </c>
      <c r="S289" s="191">
        <f t="shared" si="418"/>
        <v>20</v>
      </c>
      <c r="T289" s="191">
        <f t="shared" si="419"/>
        <v>0.56549681289838771</v>
      </c>
      <c r="U289" s="191">
        <f t="shared" si="420"/>
        <v>4.0392629492741978</v>
      </c>
      <c r="V289" s="191">
        <f t="shared" si="421"/>
        <v>4.1744351345845541</v>
      </c>
      <c r="W289" s="175">
        <f t="shared" si="422"/>
        <v>350</v>
      </c>
      <c r="X289" s="386">
        <f t="shared" si="423"/>
        <v>121.74783998515383</v>
      </c>
      <c r="Z289" s="191">
        <f t="shared" si="424"/>
        <v>0.19670861568247827</v>
      </c>
      <c r="AA289" s="153">
        <f t="shared" si="425"/>
        <v>1.4520813165537272</v>
      </c>
      <c r="AB289" s="153">
        <f t="shared" si="426"/>
        <v>2.7770254714773877E-2</v>
      </c>
      <c r="AC289" s="153"/>
      <c r="AD289" s="153">
        <f t="shared" si="427"/>
        <v>1.1072834645669289</v>
      </c>
      <c r="AE289" s="317">
        <f t="shared" si="428"/>
        <v>879.02814814814815</v>
      </c>
      <c r="AF289" s="463">
        <f t="shared" si="429"/>
        <v>2.9066190944881887E-2</v>
      </c>
      <c r="AH289" s="153">
        <f t="shared" si="430"/>
        <v>0.31640841599787722</v>
      </c>
      <c r="AI289" s="153">
        <f t="shared" si="431"/>
        <v>0.56549681289838771</v>
      </c>
      <c r="AJ289" s="153">
        <f t="shared" si="432"/>
        <v>1.5077754169617685</v>
      </c>
      <c r="AL289" s="317">
        <f t="shared" si="433"/>
        <v>73</v>
      </c>
      <c r="AM289" s="147">
        <f t="shared" si="434"/>
        <v>121.74783998515383</v>
      </c>
      <c r="AO289">
        <f t="shared" si="435"/>
        <v>73</v>
      </c>
      <c r="AP289">
        <f t="shared" si="436"/>
        <v>121.74783998515383</v>
      </c>
      <c r="AR289" s="5">
        <f t="shared" si="406"/>
        <v>8.2136980838587519</v>
      </c>
      <c r="AS289" s="5">
        <f t="shared" si="385"/>
        <v>4.0392629492741978</v>
      </c>
      <c r="AT289" s="5">
        <f t="shared" si="386"/>
        <v>4.1744351345845541</v>
      </c>
      <c r="AU289" s="153">
        <f t="shared" si="387"/>
        <v>0.4917715392061956</v>
      </c>
      <c r="CI289" s="59">
        <f t="shared" si="437"/>
        <v>-50</v>
      </c>
    </row>
    <row r="290" spans="5:87" x14ac:dyDescent="0.25">
      <c r="E290" s="150">
        <v>74</v>
      </c>
      <c r="F290" s="191">
        <f t="shared" si="438"/>
        <v>7.3999999999999996E-2</v>
      </c>
      <c r="G290" s="191">
        <f t="shared" si="407"/>
        <v>7.3999999999999996E-2</v>
      </c>
      <c r="H290" s="191">
        <f t="shared" si="408"/>
        <v>1.48</v>
      </c>
      <c r="I290" s="191">
        <f t="shared" si="409"/>
        <v>1.1839999999999999</v>
      </c>
      <c r="J290" s="472">
        <f t="shared" si="410"/>
        <v>21</v>
      </c>
      <c r="K290" s="386">
        <f t="shared" si="411"/>
        <v>20.32</v>
      </c>
      <c r="L290" s="386">
        <f t="shared" si="412"/>
        <v>41.32</v>
      </c>
      <c r="M290" s="386"/>
      <c r="N290" s="191">
        <f t="shared" si="413"/>
        <v>0.49177153920619554</v>
      </c>
      <c r="O290" s="152">
        <f t="shared" si="414"/>
        <v>1.9363504356243948</v>
      </c>
      <c r="P290" s="152">
        <f t="shared" si="415"/>
        <v>2.7883446272991286</v>
      </c>
      <c r="Q290" s="191">
        <f t="shared" si="416"/>
        <v>9.6817521781219745E-2</v>
      </c>
      <c r="R290" s="191">
        <f t="shared" si="417"/>
        <v>0.12102190222652467</v>
      </c>
      <c r="S290" s="191">
        <f t="shared" si="418"/>
        <v>20</v>
      </c>
      <c r="T290" s="191">
        <f t="shared" si="419"/>
        <v>0.57324334458192716</v>
      </c>
      <c r="U290" s="191">
        <f t="shared" si="420"/>
        <v>4.0945953184423365</v>
      </c>
      <c r="V290" s="191">
        <f t="shared" si="421"/>
        <v>4.2316191775240686</v>
      </c>
      <c r="W290" s="175">
        <f t="shared" si="422"/>
        <v>350</v>
      </c>
      <c r="X290" s="386">
        <f t="shared" si="423"/>
        <v>120.10259890427341</v>
      </c>
      <c r="Z290" s="191">
        <f t="shared" si="424"/>
        <v>0.19670861568247827</v>
      </c>
      <c r="AA290" s="153">
        <f t="shared" si="425"/>
        <v>1.4520813165537272</v>
      </c>
      <c r="AB290" s="153">
        <f t="shared" si="426"/>
        <v>2.7770254714773877E-2</v>
      </c>
      <c r="AC290" s="153"/>
      <c r="AD290" s="153">
        <f t="shared" si="427"/>
        <v>1.1072834645669289</v>
      </c>
      <c r="AE290" s="317">
        <f t="shared" si="428"/>
        <v>891.06962962962962</v>
      </c>
      <c r="AF290" s="463">
        <f t="shared" si="429"/>
        <v>2.9066190944881887E-2</v>
      </c>
      <c r="AH290" s="153">
        <f t="shared" si="430"/>
        <v>0.31856822548037383</v>
      </c>
      <c r="AI290" s="153">
        <f t="shared" si="431"/>
        <v>0.57324334458192716</v>
      </c>
      <c r="AJ290" s="153">
        <f t="shared" si="432"/>
        <v>1.5135135885792053</v>
      </c>
      <c r="AL290" s="317">
        <f t="shared" si="433"/>
        <v>74</v>
      </c>
      <c r="AM290" s="147">
        <f t="shared" si="434"/>
        <v>120.10259890427341</v>
      </c>
      <c r="AO290">
        <f t="shared" si="435"/>
        <v>74</v>
      </c>
      <c r="AP290">
        <f t="shared" si="436"/>
        <v>120.10259890427341</v>
      </c>
      <c r="AR290" s="5">
        <f t="shared" si="406"/>
        <v>8.3262144959664042</v>
      </c>
      <c r="AS290" s="5">
        <f t="shared" si="385"/>
        <v>4.0945953184423365</v>
      </c>
      <c r="AT290" s="5">
        <f t="shared" si="386"/>
        <v>4.2316191775240677</v>
      </c>
      <c r="AU290" s="153">
        <f t="shared" si="387"/>
        <v>0.4917715392061956</v>
      </c>
      <c r="CI290" s="59">
        <f t="shared" si="437"/>
        <v>-50</v>
      </c>
    </row>
    <row r="291" spans="5:87" x14ac:dyDescent="0.25">
      <c r="E291" s="150">
        <v>75</v>
      </c>
      <c r="F291" s="191">
        <f t="shared" si="438"/>
        <v>7.5000000000000011E-2</v>
      </c>
      <c r="G291" s="191">
        <f t="shared" si="407"/>
        <v>7.5000000000000011E-2</v>
      </c>
      <c r="H291" s="191">
        <f t="shared" si="408"/>
        <v>1.5000000000000002</v>
      </c>
      <c r="I291" s="191">
        <f t="shared" si="409"/>
        <v>1.2000000000000002</v>
      </c>
      <c r="J291" s="472">
        <f t="shared" si="410"/>
        <v>21</v>
      </c>
      <c r="K291" s="386">
        <f t="shared" si="411"/>
        <v>20.32</v>
      </c>
      <c r="L291" s="386">
        <f t="shared" si="412"/>
        <v>41.32</v>
      </c>
      <c r="M291" s="386"/>
      <c r="N291" s="191">
        <f t="shared" si="413"/>
        <v>0.49177153920619554</v>
      </c>
      <c r="O291" s="152">
        <f t="shared" si="414"/>
        <v>1.9363504356243948</v>
      </c>
      <c r="P291" s="152">
        <f t="shared" si="415"/>
        <v>2.7883446272991286</v>
      </c>
      <c r="Q291" s="191">
        <f t="shared" si="416"/>
        <v>9.6817521781219745E-2</v>
      </c>
      <c r="R291" s="191">
        <f t="shared" si="417"/>
        <v>0.12102190222652467</v>
      </c>
      <c r="S291" s="191">
        <f t="shared" si="418"/>
        <v>20</v>
      </c>
      <c r="T291" s="191">
        <f t="shared" si="419"/>
        <v>0.58098987626546683</v>
      </c>
      <c r="U291" s="191">
        <f t="shared" si="420"/>
        <v>4.1499276876104769</v>
      </c>
      <c r="V291" s="191">
        <f t="shared" si="421"/>
        <v>4.2888032204635831</v>
      </c>
      <c r="W291" s="175">
        <f t="shared" si="422"/>
        <v>350</v>
      </c>
      <c r="X291" s="386">
        <f t="shared" si="423"/>
        <v>118.50123091888307</v>
      </c>
      <c r="Z291" s="191">
        <f t="shared" si="424"/>
        <v>0.19670861568247827</v>
      </c>
      <c r="AA291" s="153">
        <f t="shared" si="425"/>
        <v>1.4520813165537272</v>
      </c>
      <c r="AB291" s="153">
        <f t="shared" si="426"/>
        <v>2.7770254714773877E-2</v>
      </c>
      <c r="AC291" s="153"/>
      <c r="AD291" s="153">
        <f t="shared" si="427"/>
        <v>1.1072834645669289</v>
      </c>
      <c r="AE291" s="317">
        <f t="shared" si="428"/>
        <v>903.11111111111131</v>
      </c>
      <c r="AF291" s="463">
        <f t="shared" si="429"/>
        <v>2.9066190944881887E-2</v>
      </c>
      <c r="AH291" s="153">
        <f t="shared" si="430"/>
        <v>0.32071349029490931</v>
      </c>
      <c r="AI291" s="153">
        <f t="shared" si="431"/>
        <v>0.58098987626546683</v>
      </c>
      <c r="AJ291" s="153">
        <f t="shared" si="432"/>
        <v>1.519251760196642</v>
      </c>
      <c r="AL291" s="317">
        <f t="shared" si="433"/>
        <v>75.000000000000014</v>
      </c>
      <c r="AM291" s="147">
        <f t="shared" si="434"/>
        <v>118.50123091888307</v>
      </c>
      <c r="AO291">
        <f t="shared" si="435"/>
        <v>75.000000000000014</v>
      </c>
      <c r="AP291">
        <f t="shared" si="436"/>
        <v>118.50123091888307</v>
      </c>
      <c r="AR291" s="5">
        <f t="shared" si="406"/>
        <v>8.43873090807406</v>
      </c>
      <c r="AS291" s="5">
        <f t="shared" si="385"/>
        <v>4.1499276876104769</v>
      </c>
      <c r="AT291" s="5">
        <f t="shared" si="386"/>
        <v>4.2888032204635831</v>
      </c>
      <c r="AU291" s="153">
        <f t="shared" si="387"/>
        <v>0.49177153920619554</v>
      </c>
      <c r="CI291" s="59">
        <f t="shared" si="437"/>
        <v>-50</v>
      </c>
    </row>
    <row r="292" spans="5:87" x14ac:dyDescent="0.25">
      <c r="E292" s="150">
        <v>76</v>
      </c>
      <c r="F292" s="191">
        <f t="shared" si="438"/>
        <v>7.6000000000000012E-2</v>
      </c>
      <c r="G292" s="191">
        <f t="shared" si="407"/>
        <v>7.6000000000000012E-2</v>
      </c>
      <c r="H292" s="191">
        <f t="shared" si="408"/>
        <v>1.5200000000000002</v>
      </c>
      <c r="I292" s="191">
        <f t="shared" si="409"/>
        <v>1.2160000000000002</v>
      </c>
      <c r="J292" s="472">
        <f t="shared" si="410"/>
        <v>21</v>
      </c>
      <c r="K292" s="386">
        <f t="shared" si="411"/>
        <v>20.32</v>
      </c>
      <c r="L292" s="386">
        <f t="shared" si="412"/>
        <v>41.32</v>
      </c>
      <c r="M292" s="386"/>
      <c r="N292" s="191">
        <f t="shared" si="413"/>
        <v>0.49177153920619554</v>
      </c>
      <c r="O292" s="152">
        <f t="shared" si="414"/>
        <v>1.9363504356243948</v>
      </c>
      <c r="P292" s="152">
        <f t="shared" si="415"/>
        <v>2.7883446272991286</v>
      </c>
      <c r="Q292" s="191">
        <f t="shared" si="416"/>
        <v>9.6817521781219745E-2</v>
      </c>
      <c r="R292" s="191">
        <f t="shared" si="417"/>
        <v>0.12102190222652467</v>
      </c>
      <c r="S292" s="191">
        <f t="shared" si="418"/>
        <v>20</v>
      </c>
      <c r="T292" s="191">
        <f t="shared" si="419"/>
        <v>0.5887364079490065</v>
      </c>
      <c r="U292" s="191">
        <f t="shared" si="420"/>
        <v>4.2052600567786174</v>
      </c>
      <c r="V292" s="191">
        <f t="shared" si="421"/>
        <v>4.3459872634030985</v>
      </c>
      <c r="W292" s="175">
        <f t="shared" si="422"/>
        <v>350</v>
      </c>
      <c r="X292" s="386">
        <f t="shared" si="423"/>
        <v>116.94200419626615</v>
      </c>
      <c r="Z292" s="191">
        <f t="shared" si="424"/>
        <v>0.19670861568247827</v>
      </c>
      <c r="AA292" s="153">
        <f t="shared" si="425"/>
        <v>1.4520813165537272</v>
      </c>
      <c r="AB292" s="153">
        <f t="shared" si="426"/>
        <v>2.7770254714773877E-2</v>
      </c>
      <c r="AC292" s="153"/>
      <c r="AD292" s="153">
        <f t="shared" si="427"/>
        <v>1.1072834645669289</v>
      </c>
      <c r="AE292" s="317">
        <f t="shared" si="428"/>
        <v>915.15259259259278</v>
      </c>
      <c r="AF292" s="463">
        <f t="shared" si="429"/>
        <v>2.9066190944881887E-2</v>
      </c>
      <c r="AH292" s="153">
        <f t="shared" si="430"/>
        <v>0.32284450038458368</v>
      </c>
      <c r="AI292" s="153">
        <f t="shared" si="431"/>
        <v>0.5887364079490065</v>
      </c>
      <c r="AJ292" s="153">
        <f t="shared" si="432"/>
        <v>1.5249899318140789</v>
      </c>
      <c r="AL292" s="317">
        <f t="shared" si="433"/>
        <v>76.000000000000014</v>
      </c>
      <c r="AM292" s="147">
        <f t="shared" si="434"/>
        <v>116.94200419626615</v>
      </c>
      <c r="AO292">
        <f t="shared" si="435"/>
        <v>76.000000000000014</v>
      </c>
      <c r="AP292">
        <f t="shared" si="436"/>
        <v>116.94200419626615</v>
      </c>
      <c r="AR292" s="5">
        <f t="shared" si="406"/>
        <v>8.5512473201817158</v>
      </c>
      <c r="AS292" s="5">
        <f t="shared" si="385"/>
        <v>4.2052600567786174</v>
      </c>
      <c r="AT292" s="5">
        <f t="shared" si="386"/>
        <v>4.3459872634030985</v>
      </c>
      <c r="AU292" s="153">
        <f t="shared" si="387"/>
        <v>0.49177153920619554</v>
      </c>
      <c r="CI292" s="59">
        <f t="shared" si="437"/>
        <v>-50</v>
      </c>
    </row>
    <row r="293" spans="5:87" x14ac:dyDescent="0.25">
      <c r="E293" s="150">
        <v>77</v>
      </c>
      <c r="F293" s="191">
        <f t="shared" si="438"/>
        <v>7.7000000000000013E-2</v>
      </c>
      <c r="G293" s="191">
        <f t="shared" si="407"/>
        <v>7.7000000000000013E-2</v>
      </c>
      <c r="H293" s="191">
        <f t="shared" si="408"/>
        <v>1.5400000000000003</v>
      </c>
      <c r="I293" s="191">
        <f t="shared" si="409"/>
        <v>1.2320000000000002</v>
      </c>
      <c r="J293" s="472">
        <f t="shared" si="410"/>
        <v>21</v>
      </c>
      <c r="K293" s="386">
        <f t="shared" si="411"/>
        <v>20.32</v>
      </c>
      <c r="L293" s="386">
        <f t="shared" si="412"/>
        <v>41.32</v>
      </c>
      <c r="M293" s="386"/>
      <c r="N293" s="191">
        <f t="shared" si="413"/>
        <v>0.49177153920619554</v>
      </c>
      <c r="O293" s="152">
        <f t="shared" si="414"/>
        <v>1.9363504356243948</v>
      </c>
      <c r="P293" s="152">
        <f t="shared" si="415"/>
        <v>2.7883446272991286</v>
      </c>
      <c r="Q293" s="191">
        <f t="shared" si="416"/>
        <v>9.6817521781219745E-2</v>
      </c>
      <c r="R293" s="191">
        <f t="shared" si="417"/>
        <v>0.12102190222652467</v>
      </c>
      <c r="S293" s="191">
        <f t="shared" si="418"/>
        <v>20</v>
      </c>
      <c r="T293" s="191">
        <f t="shared" si="419"/>
        <v>0.59648293963254595</v>
      </c>
      <c r="U293" s="191">
        <f t="shared" si="420"/>
        <v>4.260592425946756</v>
      </c>
      <c r="V293" s="191">
        <f t="shared" si="421"/>
        <v>4.4031713063426121</v>
      </c>
      <c r="W293" s="175">
        <f t="shared" si="422"/>
        <v>350</v>
      </c>
      <c r="X293" s="386">
        <f t="shared" si="423"/>
        <v>115.42327686904196</v>
      </c>
      <c r="Z293" s="191">
        <f t="shared" si="424"/>
        <v>0.19670861568247827</v>
      </c>
      <c r="AA293" s="153">
        <f t="shared" si="425"/>
        <v>1.4520813165537272</v>
      </c>
      <c r="AB293" s="153">
        <f t="shared" si="426"/>
        <v>2.7770254714773877E-2</v>
      </c>
      <c r="AC293" s="153"/>
      <c r="AD293" s="153">
        <f t="shared" si="427"/>
        <v>1.1072834645669289</v>
      </c>
      <c r="AE293" s="317">
        <f t="shared" si="428"/>
        <v>927.19407407407425</v>
      </c>
      <c r="AF293" s="463">
        <f t="shared" si="429"/>
        <v>2.9066190944881887E-2</v>
      </c>
      <c r="AH293" s="153">
        <f t="shared" si="430"/>
        <v>0.32496153618543844</v>
      </c>
      <c r="AI293" s="153">
        <f t="shared" si="431"/>
        <v>0.59648293963254595</v>
      </c>
      <c r="AJ293" s="153">
        <f t="shared" si="432"/>
        <v>1.5307281034315154</v>
      </c>
      <c r="AL293" s="317">
        <f t="shared" si="433"/>
        <v>77.000000000000014</v>
      </c>
      <c r="AM293" s="147">
        <f t="shared" si="434"/>
        <v>115.42327686904196</v>
      </c>
      <c r="AO293">
        <f t="shared" si="435"/>
        <v>77.000000000000014</v>
      </c>
      <c r="AP293">
        <f t="shared" si="436"/>
        <v>115.42327686904196</v>
      </c>
      <c r="AR293" s="5">
        <f t="shared" si="406"/>
        <v>8.6637637322893681</v>
      </c>
      <c r="AS293" s="5">
        <f t="shared" si="385"/>
        <v>4.260592425946756</v>
      </c>
      <c r="AT293" s="5">
        <f t="shared" si="386"/>
        <v>4.4031713063426121</v>
      </c>
      <c r="AU293" s="153">
        <f t="shared" si="387"/>
        <v>0.49177153920619554</v>
      </c>
      <c r="CI293" s="59">
        <f t="shared" si="437"/>
        <v>-50</v>
      </c>
    </row>
    <row r="294" spans="5:87" x14ac:dyDescent="0.25">
      <c r="E294" s="150">
        <v>78</v>
      </c>
      <c r="F294" s="191">
        <f t="shared" si="438"/>
        <v>7.8000000000000014E-2</v>
      </c>
      <c r="G294" s="191">
        <f t="shared" si="407"/>
        <v>7.8000000000000014E-2</v>
      </c>
      <c r="H294" s="191">
        <f t="shared" si="408"/>
        <v>1.5600000000000003</v>
      </c>
      <c r="I294" s="191">
        <f t="shared" si="409"/>
        <v>1.2480000000000002</v>
      </c>
      <c r="J294" s="472">
        <f t="shared" si="410"/>
        <v>21</v>
      </c>
      <c r="K294" s="386">
        <f t="shared" si="411"/>
        <v>20.32</v>
      </c>
      <c r="L294" s="386">
        <f t="shared" si="412"/>
        <v>41.32</v>
      </c>
      <c r="M294" s="386"/>
      <c r="N294" s="191">
        <f t="shared" si="413"/>
        <v>0.49177153920619554</v>
      </c>
      <c r="O294" s="152">
        <f t="shared" si="414"/>
        <v>1.9363504356243948</v>
      </c>
      <c r="P294" s="152">
        <f t="shared" si="415"/>
        <v>2.7883446272991286</v>
      </c>
      <c r="Q294" s="191">
        <f t="shared" si="416"/>
        <v>9.6817521781219745E-2</v>
      </c>
      <c r="R294" s="191">
        <f t="shared" si="417"/>
        <v>0.12102190222652467</v>
      </c>
      <c r="S294" s="191">
        <f t="shared" si="418"/>
        <v>20</v>
      </c>
      <c r="T294" s="191">
        <f t="shared" si="419"/>
        <v>0.60422947131608562</v>
      </c>
      <c r="U294" s="191">
        <f t="shared" si="420"/>
        <v>4.3159247951148965</v>
      </c>
      <c r="V294" s="191">
        <f t="shared" si="421"/>
        <v>4.4603553492821275</v>
      </c>
      <c r="W294" s="175">
        <f t="shared" si="422"/>
        <v>350</v>
      </c>
      <c r="X294" s="386">
        <f t="shared" si="423"/>
        <v>113.94349126815678</v>
      </c>
      <c r="Z294" s="191">
        <f t="shared" si="424"/>
        <v>0.19670861568247827</v>
      </c>
      <c r="AA294" s="153">
        <f t="shared" si="425"/>
        <v>1.4520813165537272</v>
      </c>
      <c r="AB294" s="153">
        <f t="shared" si="426"/>
        <v>2.7770254714773877E-2</v>
      </c>
      <c r="AC294" s="153"/>
      <c r="AD294" s="153">
        <f t="shared" si="427"/>
        <v>1.1072834645669289</v>
      </c>
      <c r="AE294" s="317">
        <f t="shared" si="428"/>
        <v>939.23555555555572</v>
      </c>
      <c r="AF294" s="463">
        <f t="shared" si="429"/>
        <v>2.9066190944881887E-2</v>
      </c>
      <c r="AH294" s="153">
        <f t="shared" si="430"/>
        <v>0.32706486905723858</v>
      </c>
      <c r="AI294" s="153">
        <f t="shared" si="431"/>
        <v>0.60422947131608562</v>
      </c>
      <c r="AJ294" s="153">
        <f t="shared" si="432"/>
        <v>1.5364662750489522</v>
      </c>
      <c r="AL294" s="317">
        <f t="shared" si="433"/>
        <v>78.000000000000014</v>
      </c>
      <c r="AM294" s="147">
        <f t="shared" si="434"/>
        <v>113.94349126815678</v>
      </c>
      <c r="AO294">
        <f t="shared" si="435"/>
        <v>78.000000000000014</v>
      </c>
      <c r="AP294">
        <f t="shared" si="436"/>
        <v>113.94349126815678</v>
      </c>
      <c r="AR294" s="5">
        <f t="shared" si="406"/>
        <v>8.776280144397024</v>
      </c>
      <c r="AS294" s="5">
        <f t="shared" si="385"/>
        <v>4.3159247951148965</v>
      </c>
      <c r="AT294" s="5">
        <f t="shared" si="386"/>
        <v>4.4603553492821275</v>
      </c>
      <c r="AU294" s="153">
        <f t="shared" si="387"/>
        <v>0.49177153920619554</v>
      </c>
      <c r="CI294" s="59">
        <f t="shared" si="437"/>
        <v>-50</v>
      </c>
    </row>
    <row r="295" spans="5:87" x14ac:dyDescent="0.25">
      <c r="E295" s="150">
        <v>79</v>
      </c>
      <c r="F295" s="191">
        <f t="shared" si="438"/>
        <v>7.9000000000000015E-2</v>
      </c>
      <c r="G295" s="191">
        <f t="shared" si="407"/>
        <v>7.9000000000000015E-2</v>
      </c>
      <c r="H295" s="191">
        <f t="shared" si="408"/>
        <v>1.5800000000000003</v>
      </c>
      <c r="I295" s="191">
        <f t="shared" si="409"/>
        <v>1.2640000000000002</v>
      </c>
      <c r="J295" s="472">
        <f t="shared" si="410"/>
        <v>21</v>
      </c>
      <c r="K295" s="386">
        <f t="shared" si="411"/>
        <v>20.32</v>
      </c>
      <c r="L295" s="386">
        <f t="shared" si="412"/>
        <v>41.32</v>
      </c>
      <c r="M295" s="386"/>
      <c r="N295" s="191">
        <f t="shared" si="413"/>
        <v>0.49177153920619554</v>
      </c>
      <c r="O295" s="152">
        <f t="shared" si="414"/>
        <v>1.9363504356243948</v>
      </c>
      <c r="P295" s="152">
        <f t="shared" si="415"/>
        <v>2.7883446272991286</v>
      </c>
      <c r="Q295" s="191">
        <f t="shared" si="416"/>
        <v>9.6817521781219745E-2</v>
      </c>
      <c r="R295" s="191">
        <f t="shared" si="417"/>
        <v>0.12102190222652467</v>
      </c>
      <c r="S295" s="191">
        <f t="shared" si="418"/>
        <v>20</v>
      </c>
      <c r="T295" s="191">
        <f t="shared" si="419"/>
        <v>0.61197600299962507</v>
      </c>
      <c r="U295" s="191">
        <f t="shared" si="420"/>
        <v>4.371257164283036</v>
      </c>
      <c r="V295" s="191">
        <f t="shared" si="421"/>
        <v>4.5175393922216411</v>
      </c>
      <c r="W295" s="175">
        <f t="shared" si="422"/>
        <v>350</v>
      </c>
      <c r="X295" s="386">
        <f t="shared" si="423"/>
        <v>112.50116859387633</v>
      </c>
      <c r="Z295" s="191">
        <f t="shared" si="424"/>
        <v>0.19670861568247827</v>
      </c>
      <c r="AA295" s="153">
        <f t="shared" si="425"/>
        <v>1.4520813165537272</v>
      </c>
      <c r="AB295" s="153">
        <f t="shared" si="426"/>
        <v>2.7770254714773877E-2</v>
      </c>
      <c r="AC295" s="153"/>
      <c r="AD295" s="153">
        <f t="shared" si="427"/>
        <v>1.1072834645669289</v>
      </c>
      <c r="AE295" s="317">
        <f t="shared" si="428"/>
        <v>951.2770370370373</v>
      </c>
      <c r="AF295" s="463">
        <f t="shared" si="429"/>
        <v>2.9066190944881887E-2</v>
      </c>
      <c r="AH295" s="153">
        <f t="shared" si="430"/>
        <v>0.32915476168947816</v>
      </c>
      <c r="AI295" s="153">
        <f t="shared" si="431"/>
        <v>0.61197600299962507</v>
      </c>
      <c r="AJ295" s="153">
        <f t="shared" si="432"/>
        <v>1.5422044466663889</v>
      </c>
      <c r="AL295" s="317">
        <f t="shared" si="433"/>
        <v>79.000000000000014</v>
      </c>
      <c r="AM295" s="147">
        <f t="shared" si="434"/>
        <v>112.50116859387633</v>
      </c>
      <c r="AO295">
        <f t="shared" si="435"/>
        <v>79.000000000000014</v>
      </c>
      <c r="AP295">
        <f t="shared" si="436"/>
        <v>112.50116859387633</v>
      </c>
      <c r="AR295" s="5">
        <f t="shared" si="406"/>
        <v>8.8887965565046763</v>
      </c>
      <c r="AS295" s="5">
        <f t="shared" si="385"/>
        <v>4.371257164283036</v>
      </c>
      <c r="AT295" s="5">
        <f t="shared" si="386"/>
        <v>4.5175393922216402</v>
      </c>
      <c r="AU295" s="153">
        <f t="shared" si="387"/>
        <v>0.4917715392061956</v>
      </c>
      <c r="CI295" s="59">
        <f t="shared" si="437"/>
        <v>-50</v>
      </c>
    </row>
    <row r="296" spans="5:87" x14ac:dyDescent="0.25">
      <c r="E296" s="150">
        <v>80</v>
      </c>
      <c r="F296" s="191">
        <f t="shared" si="438"/>
        <v>8.0000000000000016E-2</v>
      </c>
      <c r="G296" s="191">
        <f t="shared" si="407"/>
        <v>8.0000000000000016E-2</v>
      </c>
      <c r="H296" s="191">
        <f t="shared" si="408"/>
        <v>1.6000000000000003</v>
      </c>
      <c r="I296" s="191">
        <f t="shared" si="409"/>
        <v>1.2800000000000002</v>
      </c>
      <c r="J296" s="472">
        <f t="shared" si="410"/>
        <v>21</v>
      </c>
      <c r="K296" s="386">
        <f t="shared" si="411"/>
        <v>20.32</v>
      </c>
      <c r="L296" s="386">
        <f t="shared" si="412"/>
        <v>41.32</v>
      </c>
      <c r="M296" s="386"/>
      <c r="N296" s="191">
        <f t="shared" si="413"/>
        <v>0.49177153920619554</v>
      </c>
      <c r="O296" s="152">
        <f t="shared" si="414"/>
        <v>1.9363504356243948</v>
      </c>
      <c r="P296" s="152">
        <f t="shared" si="415"/>
        <v>2.7883446272991286</v>
      </c>
      <c r="Q296" s="191">
        <f t="shared" si="416"/>
        <v>9.6817521781219745E-2</v>
      </c>
      <c r="R296" s="191">
        <f t="shared" si="417"/>
        <v>0.12102190222652467</v>
      </c>
      <c r="S296" s="191">
        <f t="shared" si="418"/>
        <v>20</v>
      </c>
      <c r="T296" s="191">
        <f t="shared" si="419"/>
        <v>0.61972253468316474</v>
      </c>
      <c r="U296" s="191">
        <f t="shared" si="420"/>
        <v>4.4265895334511765</v>
      </c>
      <c r="V296" s="191">
        <f t="shared" si="421"/>
        <v>4.5747234351611565</v>
      </c>
      <c r="W296" s="175">
        <f t="shared" si="422"/>
        <v>350</v>
      </c>
      <c r="X296" s="386">
        <f t="shared" si="423"/>
        <v>111.09490398645286</v>
      </c>
      <c r="Z296" s="191">
        <f t="shared" si="424"/>
        <v>0.19670861568247827</v>
      </c>
      <c r="AA296" s="153">
        <f t="shared" si="425"/>
        <v>1.4520813165537272</v>
      </c>
      <c r="AB296" s="153">
        <f t="shared" si="426"/>
        <v>2.7770254714773877E-2</v>
      </c>
      <c r="AC296" s="153"/>
      <c r="AD296" s="153">
        <f t="shared" si="427"/>
        <v>1.1072834645669289</v>
      </c>
      <c r="AE296" s="317">
        <f t="shared" si="428"/>
        <v>963.31851851851877</v>
      </c>
      <c r="AF296" s="463">
        <f t="shared" si="429"/>
        <v>2.9066190944881887E-2</v>
      </c>
      <c r="AH296" s="153">
        <f t="shared" si="430"/>
        <v>0.3312314684843301</v>
      </c>
      <c r="AI296" s="153">
        <f t="shared" si="431"/>
        <v>0.61972253468316474</v>
      </c>
      <c r="AJ296" s="153">
        <f t="shared" si="432"/>
        <v>1.5479426182838256</v>
      </c>
      <c r="AL296" s="317">
        <f t="shared" si="433"/>
        <v>80.000000000000014</v>
      </c>
      <c r="AM296" s="147">
        <f t="shared" si="434"/>
        <v>111.09490398645286</v>
      </c>
      <c r="AO296">
        <f t="shared" si="435"/>
        <v>80.000000000000014</v>
      </c>
      <c r="AP296">
        <f t="shared" si="436"/>
        <v>111.09490398645286</v>
      </c>
      <c r="AR296" s="5">
        <f t="shared" si="406"/>
        <v>9.0013129686123321</v>
      </c>
      <c r="AS296" s="5">
        <f t="shared" si="385"/>
        <v>4.4265895334511765</v>
      </c>
      <c r="AT296" s="5">
        <f t="shared" si="386"/>
        <v>4.5747234351611556</v>
      </c>
      <c r="AU296" s="153">
        <f t="shared" si="387"/>
        <v>0.4917715392061956</v>
      </c>
      <c r="CI296" s="59">
        <f t="shared" si="437"/>
        <v>-50</v>
      </c>
    </row>
    <row r="297" spans="5:87" x14ac:dyDescent="0.25">
      <c r="E297" s="150">
        <v>81</v>
      </c>
      <c r="F297" s="191">
        <f t="shared" si="438"/>
        <v>8.1000000000000016E-2</v>
      </c>
      <c r="G297" s="191">
        <f t="shared" si="407"/>
        <v>8.1000000000000016E-2</v>
      </c>
      <c r="H297" s="191">
        <f t="shared" si="408"/>
        <v>1.6200000000000003</v>
      </c>
      <c r="I297" s="191">
        <f t="shared" si="409"/>
        <v>1.2960000000000003</v>
      </c>
      <c r="J297" s="472">
        <f t="shared" si="410"/>
        <v>21</v>
      </c>
      <c r="K297" s="386">
        <f t="shared" si="411"/>
        <v>20.32</v>
      </c>
      <c r="L297" s="386">
        <f t="shared" si="412"/>
        <v>41.32</v>
      </c>
      <c r="M297" s="386"/>
      <c r="N297" s="191">
        <f t="shared" si="413"/>
        <v>0.49177153920619554</v>
      </c>
      <c r="O297" s="152">
        <f t="shared" si="414"/>
        <v>1.9363504356243948</v>
      </c>
      <c r="P297" s="152">
        <f t="shared" si="415"/>
        <v>2.7883446272991286</v>
      </c>
      <c r="Q297" s="191">
        <f t="shared" si="416"/>
        <v>9.6817521781219745E-2</v>
      </c>
      <c r="R297" s="191">
        <f t="shared" si="417"/>
        <v>0.12102190222652467</v>
      </c>
      <c r="S297" s="191">
        <f t="shared" si="418"/>
        <v>20</v>
      </c>
      <c r="T297" s="191">
        <f t="shared" si="419"/>
        <v>0.62746906636670419</v>
      </c>
      <c r="U297" s="191">
        <f t="shared" si="420"/>
        <v>4.4819219026193151</v>
      </c>
      <c r="V297" s="191">
        <f t="shared" si="421"/>
        <v>4.6319074781006702</v>
      </c>
      <c r="W297" s="175">
        <f t="shared" si="422"/>
        <v>350</v>
      </c>
      <c r="X297" s="386">
        <f t="shared" si="423"/>
        <v>109.72336196192877</v>
      </c>
      <c r="Z297" s="191">
        <f t="shared" si="424"/>
        <v>0.19670861568247827</v>
      </c>
      <c r="AA297" s="153">
        <f t="shared" si="425"/>
        <v>1.4520813165537272</v>
      </c>
      <c r="AB297" s="153">
        <f t="shared" si="426"/>
        <v>2.7770254714773877E-2</v>
      </c>
      <c r="AC297" s="153"/>
      <c r="AD297" s="153">
        <f t="shared" si="427"/>
        <v>1.1072834645669289</v>
      </c>
      <c r="AE297" s="317">
        <f t="shared" si="428"/>
        <v>975.36000000000024</v>
      </c>
      <c r="AF297" s="463">
        <f t="shared" si="429"/>
        <v>2.9066190944881887E-2</v>
      </c>
      <c r="AH297" s="153">
        <f t="shared" si="430"/>
        <v>0.33329523591811855</v>
      </c>
      <c r="AI297" s="153">
        <f t="shared" si="431"/>
        <v>0.62746906636670419</v>
      </c>
      <c r="AJ297" s="153">
        <f t="shared" si="432"/>
        <v>1.5536807899012623</v>
      </c>
      <c r="AL297" s="317">
        <f t="shared" si="433"/>
        <v>81.000000000000014</v>
      </c>
      <c r="AM297" s="147">
        <f t="shared" si="434"/>
        <v>109.72336196192877</v>
      </c>
      <c r="AO297">
        <f t="shared" si="435"/>
        <v>81.000000000000014</v>
      </c>
      <c r="AP297">
        <f t="shared" si="436"/>
        <v>109.72336196192877</v>
      </c>
      <c r="AR297" s="5">
        <f t="shared" si="406"/>
        <v>9.1138293807199844</v>
      </c>
      <c r="AS297" s="5">
        <f t="shared" si="385"/>
        <v>4.4819219026193151</v>
      </c>
      <c r="AT297" s="5">
        <f t="shared" si="386"/>
        <v>4.6319074781006693</v>
      </c>
      <c r="AU297" s="153">
        <f t="shared" si="387"/>
        <v>0.4917715392061956</v>
      </c>
      <c r="CI297" s="59">
        <f t="shared" si="437"/>
        <v>-50</v>
      </c>
    </row>
    <row r="298" spans="5:87" x14ac:dyDescent="0.25">
      <c r="E298" s="150">
        <v>82</v>
      </c>
      <c r="F298" s="191">
        <f t="shared" si="438"/>
        <v>8.2000000000000003E-2</v>
      </c>
      <c r="G298" s="191">
        <f t="shared" si="407"/>
        <v>8.2000000000000003E-2</v>
      </c>
      <c r="H298" s="191">
        <f t="shared" si="408"/>
        <v>1.6400000000000001</v>
      </c>
      <c r="I298" s="191">
        <f t="shared" si="409"/>
        <v>1.3120000000000001</v>
      </c>
      <c r="J298" s="472">
        <f t="shared" si="410"/>
        <v>21</v>
      </c>
      <c r="K298" s="386">
        <f t="shared" si="411"/>
        <v>20.32</v>
      </c>
      <c r="L298" s="386">
        <f t="shared" si="412"/>
        <v>41.32</v>
      </c>
      <c r="M298" s="386"/>
      <c r="N298" s="191">
        <f t="shared" si="413"/>
        <v>0.49177153920619554</v>
      </c>
      <c r="O298" s="152">
        <f t="shared" si="414"/>
        <v>1.9363504356243948</v>
      </c>
      <c r="P298" s="152">
        <f t="shared" si="415"/>
        <v>2.7883446272991286</v>
      </c>
      <c r="Q298" s="191">
        <f t="shared" si="416"/>
        <v>9.6817521781219745E-2</v>
      </c>
      <c r="R298" s="191">
        <f t="shared" si="417"/>
        <v>0.12102190222652467</v>
      </c>
      <c r="S298" s="191">
        <f t="shared" si="418"/>
        <v>20</v>
      </c>
      <c r="T298" s="191">
        <f t="shared" si="419"/>
        <v>0.63521559805024363</v>
      </c>
      <c r="U298" s="191">
        <f t="shared" si="420"/>
        <v>4.5372542717874547</v>
      </c>
      <c r="V298" s="191">
        <f t="shared" si="421"/>
        <v>4.6890915210401838</v>
      </c>
      <c r="W298" s="175">
        <f t="shared" si="422"/>
        <v>350</v>
      </c>
      <c r="X298" s="386">
        <f t="shared" si="423"/>
        <v>108.38527218190525</v>
      </c>
      <c r="Z298" s="191">
        <f t="shared" si="424"/>
        <v>0.19670861568247827</v>
      </c>
      <c r="AA298" s="153">
        <f t="shared" si="425"/>
        <v>1.4520813165537272</v>
      </c>
      <c r="AB298" s="153">
        <f t="shared" si="426"/>
        <v>2.7770254714773877E-2</v>
      </c>
      <c r="AC298" s="153"/>
      <c r="AD298" s="153">
        <f t="shared" si="427"/>
        <v>1.1072834645669289</v>
      </c>
      <c r="AE298" s="317">
        <f t="shared" si="428"/>
        <v>987.4014814814816</v>
      </c>
      <c r="AF298" s="463">
        <f t="shared" si="429"/>
        <v>2.9066190944881887E-2</v>
      </c>
      <c r="AH298" s="153">
        <f t="shared" si="430"/>
        <v>0.33534630288277051</v>
      </c>
      <c r="AI298" s="153">
        <f t="shared" si="431"/>
        <v>0.63521559805024363</v>
      </c>
      <c r="AJ298" s="153">
        <f t="shared" si="432"/>
        <v>1.5594189615186989</v>
      </c>
      <c r="AL298" s="317">
        <f t="shared" si="433"/>
        <v>82</v>
      </c>
      <c r="AM298" s="147">
        <f t="shared" si="434"/>
        <v>108.38527218190525</v>
      </c>
      <c r="AO298">
        <f t="shared" si="435"/>
        <v>82</v>
      </c>
      <c r="AP298">
        <f t="shared" si="436"/>
        <v>108.38527218190525</v>
      </c>
      <c r="AR298" s="5">
        <f t="shared" si="406"/>
        <v>9.2263457928276384</v>
      </c>
      <c r="AS298" s="5">
        <f t="shared" si="385"/>
        <v>4.5372542717874547</v>
      </c>
      <c r="AT298" s="5">
        <f t="shared" si="386"/>
        <v>4.6890915210401838</v>
      </c>
      <c r="AU298" s="153">
        <f t="shared" si="387"/>
        <v>0.4917715392061956</v>
      </c>
      <c r="CI298" s="59">
        <f t="shared" si="437"/>
        <v>-50</v>
      </c>
    </row>
    <row r="299" spans="5:87" x14ac:dyDescent="0.25">
      <c r="E299" s="150">
        <v>83</v>
      </c>
      <c r="F299" s="191">
        <f t="shared" si="438"/>
        <v>8.3000000000000004E-2</v>
      </c>
      <c r="G299" s="191">
        <f t="shared" si="407"/>
        <v>8.3000000000000004E-2</v>
      </c>
      <c r="H299" s="191">
        <f t="shared" si="408"/>
        <v>1.6600000000000001</v>
      </c>
      <c r="I299" s="191">
        <f t="shared" si="409"/>
        <v>1.3280000000000001</v>
      </c>
      <c r="J299" s="472">
        <f t="shared" si="410"/>
        <v>21</v>
      </c>
      <c r="K299" s="386">
        <f t="shared" si="411"/>
        <v>20.32</v>
      </c>
      <c r="L299" s="386">
        <f t="shared" si="412"/>
        <v>41.32</v>
      </c>
      <c r="M299" s="386"/>
      <c r="N299" s="191">
        <f t="shared" si="413"/>
        <v>0.49177153920619554</v>
      </c>
      <c r="O299" s="152">
        <f t="shared" si="414"/>
        <v>1.9363504356243948</v>
      </c>
      <c r="P299" s="152">
        <f t="shared" si="415"/>
        <v>2.7883446272991286</v>
      </c>
      <c r="Q299" s="191">
        <f t="shared" si="416"/>
        <v>9.6817521781219745E-2</v>
      </c>
      <c r="R299" s="191">
        <f t="shared" si="417"/>
        <v>0.12102190222652467</v>
      </c>
      <c r="S299" s="191">
        <f t="shared" si="418"/>
        <v>20</v>
      </c>
      <c r="T299" s="191">
        <f t="shared" si="419"/>
        <v>0.64296212973378331</v>
      </c>
      <c r="U299" s="191">
        <f t="shared" si="420"/>
        <v>4.5925866409555951</v>
      </c>
      <c r="V299" s="191">
        <f t="shared" si="421"/>
        <v>4.7462755639797001</v>
      </c>
      <c r="W299" s="175">
        <f t="shared" si="422"/>
        <v>350</v>
      </c>
      <c r="X299" s="386">
        <f t="shared" si="423"/>
        <v>107.07942552911118</v>
      </c>
      <c r="Z299" s="191">
        <f t="shared" si="424"/>
        <v>0.19670861568247827</v>
      </c>
      <c r="AA299" s="153">
        <f t="shared" si="425"/>
        <v>1.4520813165537272</v>
      </c>
      <c r="AB299" s="153">
        <f t="shared" si="426"/>
        <v>2.7770254714773877E-2</v>
      </c>
      <c r="AC299" s="153"/>
      <c r="AD299" s="153">
        <f t="shared" si="427"/>
        <v>1.1072834645669289</v>
      </c>
      <c r="AE299" s="317">
        <f t="shared" si="428"/>
        <v>999.44296296296307</v>
      </c>
      <c r="AF299" s="463">
        <f t="shared" si="429"/>
        <v>2.9066190944881887E-2</v>
      </c>
      <c r="AH299" s="153">
        <f t="shared" si="430"/>
        <v>0.33738490100858315</v>
      </c>
      <c r="AI299" s="153">
        <f t="shared" si="431"/>
        <v>0.64296212973378331</v>
      </c>
      <c r="AJ299" s="153">
        <f t="shared" si="432"/>
        <v>1.5651571331361358</v>
      </c>
      <c r="AL299" s="317">
        <f t="shared" si="433"/>
        <v>83</v>
      </c>
      <c r="AM299" s="147">
        <f t="shared" si="434"/>
        <v>107.07942552911118</v>
      </c>
      <c r="AO299">
        <f t="shared" si="435"/>
        <v>83</v>
      </c>
      <c r="AP299">
        <f t="shared" si="436"/>
        <v>107.07942552911118</v>
      </c>
      <c r="AR299" s="5">
        <f t="shared" si="406"/>
        <v>9.3388622049352961</v>
      </c>
      <c r="AS299" s="5">
        <f t="shared" si="385"/>
        <v>4.5925866409555951</v>
      </c>
      <c r="AT299" s="5">
        <f t="shared" si="386"/>
        <v>4.746275563979701</v>
      </c>
      <c r="AU299" s="153">
        <f t="shared" si="387"/>
        <v>0.49177153920619548</v>
      </c>
      <c r="CI299" s="59">
        <f t="shared" si="437"/>
        <v>-50</v>
      </c>
    </row>
    <row r="300" spans="5:87" x14ac:dyDescent="0.25">
      <c r="E300" s="150">
        <v>84</v>
      </c>
      <c r="F300" s="191">
        <f t="shared" si="438"/>
        <v>8.4000000000000005E-2</v>
      </c>
      <c r="G300" s="191">
        <f t="shared" si="407"/>
        <v>8.4000000000000005E-2</v>
      </c>
      <c r="H300" s="191">
        <f t="shared" si="408"/>
        <v>1.6800000000000002</v>
      </c>
      <c r="I300" s="191">
        <f t="shared" si="409"/>
        <v>1.3440000000000001</v>
      </c>
      <c r="J300" s="472">
        <f t="shared" si="410"/>
        <v>21</v>
      </c>
      <c r="K300" s="386">
        <f t="shared" si="411"/>
        <v>20.32</v>
      </c>
      <c r="L300" s="386">
        <f t="shared" si="412"/>
        <v>41.32</v>
      </c>
      <c r="M300" s="386"/>
      <c r="N300" s="191">
        <f t="shared" si="413"/>
        <v>0.49177153920619554</v>
      </c>
      <c r="O300" s="152">
        <f t="shared" si="414"/>
        <v>1.9363504356243948</v>
      </c>
      <c r="P300" s="152">
        <f t="shared" si="415"/>
        <v>2.7883446272991286</v>
      </c>
      <c r="Q300" s="191">
        <f t="shared" si="416"/>
        <v>9.6817521781219745E-2</v>
      </c>
      <c r="R300" s="191">
        <f t="shared" si="417"/>
        <v>0.12102190222652467</v>
      </c>
      <c r="S300" s="191">
        <f t="shared" si="418"/>
        <v>20</v>
      </c>
      <c r="T300" s="191">
        <f t="shared" si="419"/>
        <v>0.65070866141732275</v>
      </c>
      <c r="U300" s="191">
        <f t="shared" si="420"/>
        <v>4.6479190101237338</v>
      </c>
      <c r="V300" s="191">
        <f t="shared" si="421"/>
        <v>4.8034596069192128</v>
      </c>
      <c r="W300" s="175">
        <f t="shared" si="422"/>
        <v>350</v>
      </c>
      <c r="X300" s="386">
        <f t="shared" si="423"/>
        <v>105.80467046328846</v>
      </c>
      <c r="Z300" s="191">
        <f t="shared" si="424"/>
        <v>0.19670861568247827</v>
      </c>
      <c r="AA300" s="153">
        <f t="shared" si="425"/>
        <v>1.4520813165537272</v>
      </c>
      <c r="AB300" s="153">
        <f t="shared" si="426"/>
        <v>2.7770254714773877E-2</v>
      </c>
      <c r="AC300" s="153"/>
      <c r="AD300" s="153">
        <f t="shared" si="427"/>
        <v>1.1072834645669289</v>
      </c>
      <c r="AE300" s="317">
        <f t="shared" si="428"/>
        <v>1011.4844444444446</v>
      </c>
      <c r="AF300" s="463">
        <f t="shared" si="429"/>
        <v>2.9066190944881887E-2</v>
      </c>
      <c r="AH300" s="153">
        <f t="shared" si="430"/>
        <v>0.33941125496954283</v>
      </c>
      <c r="AI300" s="153">
        <f t="shared" si="431"/>
        <v>0.65070866141732275</v>
      </c>
      <c r="AJ300" s="153">
        <f t="shared" si="432"/>
        <v>1.5708953047535723</v>
      </c>
      <c r="AL300" s="317">
        <f t="shared" si="433"/>
        <v>84</v>
      </c>
      <c r="AM300" s="147">
        <f t="shared" si="434"/>
        <v>105.80467046328846</v>
      </c>
      <c r="AO300">
        <f t="shared" si="435"/>
        <v>84</v>
      </c>
      <c r="AP300">
        <f t="shared" si="436"/>
        <v>105.80467046328846</v>
      </c>
      <c r="AR300" s="5">
        <f t="shared" si="406"/>
        <v>9.4513786170429466</v>
      </c>
      <c r="AS300" s="5">
        <f t="shared" si="385"/>
        <v>4.6479190101237338</v>
      </c>
      <c r="AT300" s="5">
        <f t="shared" si="386"/>
        <v>4.8034596069192128</v>
      </c>
      <c r="AU300" s="153">
        <f t="shared" si="387"/>
        <v>0.49177153920619554</v>
      </c>
      <c r="CI300" s="59">
        <f t="shared" si="437"/>
        <v>-50</v>
      </c>
    </row>
    <row r="301" spans="5:87" x14ac:dyDescent="0.25">
      <c r="E301" s="150">
        <v>85</v>
      </c>
      <c r="F301" s="191">
        <f t="shared" si="438"/>
        <v>8.5000000000000006E-2</v>
      </c>
      <c r="G301" s="191">
        <f t="shared" si="407"/>
        <v>8.5000000000000006E-2</v>
      </c>
      <c r="H301" s="191">
        <f t="shared" si="408"/>
        <v>1.7000000000000002</v>
      </c>
      <c r="I301" s="191">
        <f t="shared" si="409"/>
        <v>1.36</v>
      </c>
      <c r="J301" s="472">
        <f t="shared" si="410"/>
        <v>21</v>
      </c>
      <c r="K301" s="386">
        <f t="shared" si="411"/>
        <v>20.32</v>
      </c>
      <c r="L301" s="386">
        <f t="shared" si="412"/>
        <v>41.32</v>
      </c>
      <c r="M301" s="386"/>
      <c r="N301" s="191">
        <f t="shared" si="413"/>
        <v>0.49177153920619554</v>
      </c>
      <c r="O301" s="152">
        <f t="shared" si="414"/>
        <v>1.9363504356243948</v>
      </c>
      <c r="P301" s="152">
        <f t="shared" si="415"/>
        <v>2.7883446272991286</v>
      </c>
      <c r="Q301" s="191">
        <f t="shared" si="416"/>
        <v>9.6817521781219745E-2</v>
      </c>
      <c r="R301" s="191">
        <f t="shared" si="417"/>
        <v>0.12102190222652467</v>
      </c>
      <c r="S301" s="191">
        <f t="shared" si="418"/>
        <v>20</v>
      </c>
      <c r="T301" s="191">
        <f t="shared" si="419"/>
        <v>0.65845519310086242</v>
      </c>
      <c r="U301" s="191">
        <f t="shared" si="420"/>
        <v>4.7032513792918742</v>
      </c>
      <c r="V301" s="191">
        <f t="shared" si="421"/>
        <v>4.8606436498587282</v>
      </c>
      <c r="W301" s="175">
        <f t="shared" si="422"/>
        <v>350</v>
      </c>
      <c r="X301" s="386">
        <f t="shared" si="423"/>
        <v>104.55990963430858</v>
      </c>
      <c r="Z301" s="191">
        <f t="shared" si="424"/>
        <v>0.19670861568247827</v>
      </c>
      <c r="AA301" s="153">
        <f t="shared" si="425"/>
        <v>1.4520813165537272</v>
      </c>
      <c r="AB301" s="153">
        <f t="shared" si="426"/>
        <v>2.7770254714773877E-2</v>
      </c>
      <c r="AC301" s="153"/>
      <c r="AD301" s="153">
        <f t="shared" si="427"/>
        <v>1.1072834645669289</v>
      </c>
      <c r="AE301" s="317">
        <f t="shared" si="428"/>
        <v>1023.5259259259261</v>
      </c>
      <c r="AF301" s="463">
        <f t="shared" si="429"/>
        <v>2.9066190944881887E-2</v>
      </c>
      <c r="AH301" s="153">
        <f t="shared" si="430"/>
        <v>0.34142558277233503</v>
      </c>
      <c r="AI301" s="153">
        <f t="shared" si="431"/>
        <v>0.65845519310086242</v>
      </c>
      <c r="AJ301" s="153">
        <f t="shared" si="432"/>
        <v>1.576633476371009</v>
      </c>
      <c r="AL301" s="317">
        <f t="shared" si="433"/>
        <v>85</v>
      </c>
      <c r="AM301" s="147">
        <f t="shared" si="434"/>
        <v>104.55990963430858</v>
      </c>
      <c r="AO301">
        <f t="shared" si="435"/>
        <v>85</v>
      </c>
      <c r="AP301">
        <f t="shared" si="436"/>
        <v>104.55990963430858</v>
      </c>
      <c r="AR301" s="5">
        <f t="shared" si="406"/>
        <v>9.5638950291506006</v>
      </c>
      <c r="AS301" s="5">
        <f t="shared" si="385"/>
        <v>4.7032513792918742</v>
      </c>
      <c r="AT301" s="5">
        <f t="shared" si="386"/>
        <v>4.8606436498587264</v>
      </c>
      <c r="AU301" s="153">
        <f t="shared" si="387"/>
        <v>0.49177153920619565</v>
      </c>
      <c r="CI301" s="59">
        <f t="shared" si="437"/>
        <v>-50</v>
      </c>
    </row>
    <row r="302" spans="5:87" x14ac:dyDescent="0.25">
      <c r="E302" s="150">
        <v>86</v>
      </c>
      <c r="F302" s="191">
        <f t="shared" si="438"/>
        <v>8.6000000000000007E-2</v>
      </c>
      <c r="G302" s="191">
        <f t="shared" si="407"/>
        <v>8.6000000000000007E-2</v>
      </c>
      <c r="H302" s="191">
        <f t="shared" si="408"/>
        <v>1.7200000000000002</v>
      </c>
      <c r="I302" s="191">
        <f t="shared" si="409"/>
        <v>1.3760000000000001</v>
      </c>
      <c r="J302" s="472">
        <f t="shared" si="410"/>
        <v>21</v>
      </c>
      <c r="K302" s="386">
        <f t="shared" si="411"/>
        <v>20.32</v>
      </c>
      <c r="L302" s="386">
        <f t="shared" si="412"/>
        <v>41.32</v>
      </c>
      <c r="M302" s="386"/>
      <c r="N302" s="191">
        <f t="shared" si="413"/>
        <v>0.49177153920619554</v>
      </c>
      <c r="O302" s="152">
        <f t="shared" si="414"/>
        <v>1.9363504356243948</v>
      </c>
      <c r="P302" s="152">
        <f t="shared" si="415"/>
        <v>2.7883446272991286</v>
      </c>
      <c r="Q302" s="191">
        <f t="shared" si="416"/>
        <v>9.6817521781219745E-2</v>
      </c>
      <c r="R302" s="191">
        <f t="shared" si="417"/>
        <v>0.12102190222652467</v>
      </c>
      <c r="S302" s="191">
        <f t="shared" si="418"/>
        <v>20</v>
      </c>
      <c r="T302" s="191">
        <f t="shared" si="419"/>
        <v>0.66620172478440187</v>
      </c>
      <c r="U302" s="191">
        <f t="shared" si="420"/>
        <v>4.7585837484600129</v>
      </c>
      <c r="V302" s="191">
        <f t="shared" si="421"/>
        <v>4.9178276927982418</v>
      </c>
      <c r="W302" s="175">
        <f t="shared" si="422"/>
        <v>350</v>
      </c>
      <c r="X302" s="386">
        <f t="shared" si="423"/>
        <v>103.34409673158409</v>
      </c>
      <c r="Z302" s="191">
        <f t="shared" si="424"/>
        <v>0.19670861568247827</v>
      </c>
      <c r="AA302" s="153">
        <f t="shared" si="425"/>
        <v>1.4520813165537272</v>
      </c>
      <c r="AB302" s="153">
        <f t="shared" si="426"/>
        <v>2.7770254714773877E-2</v>
      </c>
      <c r="AC302" s="153"/>
      <c r="AD302" s="153">
        <f t="shared" si="427"/>
        <v>1.1072834645669289</v>
      </c>
      <c r="AE302" s="317">
        <f t="shared" si="428"/>
        <v>1035.5674074074075</v>
      </c>
      <c r="AF302" s="463">
        <f t="shared" si="429"/>
        <v>2.9066190944881887E-2</v>
      </c>
      <c r="AH302" s="153">
        <f t="shared" si="430"/>
        <v>0.3434280960300965</v>
      </c>
      <c r="AI302" s="153">
        <f t="shared" si="431"/>
        <v>0.66620172478440187</v>
      </c>
      <c r="AJ302" s="153">
        <f t="shared" si="432"/>
        <v>1.5823716479884458</v>
      </c>
      <c r="AL302" s="317">
        <f t="shared" si="433"/>
        <v>86</v>
      </c>
      <c r="AM302" s="147">
        <f t="shared" si="434"/>
        <v>103.34409673158409</v>
      </c>
      <c r="AO302">
        <f t="shared" si="435"/>
        <v>86</v>
      </c>
      <c r="AP302">
        <f t="shared" si="436"/>
        <v>103.34409673158409</v>
      </c>
      <c r="AR302" s="5">
        <f t="shared" si="406"/>
        <v>9.6764114412582529</v>
      </c>
      <c r="AS302" s="5">
        <f t="shared" si="385"/>
        <v>4.7585837484600129</v>
      </c>
      <c r="AT302" s="5">
        <f t="shared" si="386"/>
        <v>4.9178276927982401</v>
      </c>
      <c r="AU302" s="153">
        <f t="shared" si="387"/>
        <v>0.49177153920619565</v>
      </c>
      <c r="CI302" s="59">
        <f t="shared" si="437"/>
        <v>-50</v>
      </c>
    </row>
    <row r="303" spans="5:87" x14ac:dyDescent="0.25">
      <c r="E303" s="150">
        <v>87</v>
      </c>
      <c r="F303" s="191">
        <f t="shared" si="438"/>
        <v>8.7000000000000008E-2</v>
      </c>
      <c r="G303" s="191">
        <f t="shared" si="407"/>
        <v>8.7000000000000008E-2</v>
      </c>
      <c r="H303" s="191">
        <f t="shared" si="408"/>
        <v>1.7400000000000002</v>
      </c>
      <c r="I303" s="191">
        <f t="shared" si="409"/>
        <v>1.3920000000000001</v>
      </c>
      <c r="J303" s="472">
        <f t="shared" si="410"/>
        <v>21</v>
      </c>
      <c r="K303" s="386">
        <f t="shared" si="411"/>
        <v>20.32</v>
      </c>
      <c r="L303" s="386">
        <f t="shared" si="412"/>
        <v>41.32</v>
      </c>
      <c r="M303" s="386"/>
      <c r="N303" s="191">
        <f t="shared" si="413"/>
        <v>0.49177153920619554</v>
      </c>
      <c r="O303" s="152">
        <f t="shared" si="414"/>
        <v>1.9363504356243948</v>
      </c>
      <c r="P303" s="152">
        <f t="shared" si="415"/>
        <v>2.7883446272991286</v>
      </c>
      <c r="Q303" s="191">
        <f t="shared" si="416"/>
        <v>9.6817521781219745E-2</v>
      </c>
      <c r="R303" s="191">
        <f t="shared" si="417"/>
        <v>0.12102190222652467</v>
      </c>
      <c r="S303" s="191">
        <f t="shared" si="418"/>
        <v>20</v>
      </c>
      <c r="T303" s="191">
        <f t="shared" si="419"/>
        <v>0.67394825646794154</v>
      </c>
      <c r="U303" s="191">
        <f t="shared" si="420"/>
        <v>4.8139161176281533</v>
      </c>
      <c r="V303" s="191">
        <f t="shared" si="421"/>
        <v>4.9750117357377572</v>
      </c>
      <c r="W303" s="175">
        <f t="shared" si="422"/>
        <v>350</v>
      </c>
      <c r="X303" s="386">
        <f t="shared" si="423"/>
        <v>102.15623355076126</v>
      </c>
      <c r="Z303" s="191">
        <f t="shared" si="424"/>
        <v>0.19670861568247827</v>
      </c>
      <c r="AA303" s="153">
        <f t="shared" si="425"/>
        <v>1.4520813165537272</v>
      </c>
      <c r="AB303" s="153">
        <f t="shared" si="426"/>
        <v>2.7770254714773877E-2</v>
      </c>
      <c r="AC303" s="153"/>
      <c r="AD303" s="153">
        <f t="shared" si="427"/>
        <v>1.1072834645669289</v>
      </c>
      <c r="AE303" s="317">
        <f t="shared" si="428"/>
        <v>1047.6088888888892</v>
      </c>
      <c r="AF303" s="463">
        <f t="shared" si="429"/>
        <v>2.9066190944881887E-2</v>
      </c>
      <c r="AH303" s="153">
        <f t="shared" si="430"/>
        <v>0.34541900022188377</v>
      </c>
      <c r="AI303" s="153">
        <f t="shared" si="431"/>
        <v>0.67394825646794154</v>
      </c>
      <c r="AJ303" s="153">
        <f t="shared" si="432"/>
        <v>1.5881098196058825</v>
      </c>
      <c r="AL303" s="317">
        <f t="shared" si="433"/>
        <v>87.000000000000014</v>
      </c>
      <c r="AM303" s="147">
        <f t="shared" si="434"/>
        <v>102.15623355076126</v>
      </c>
      <c r="AO303">
        <f t="shared" si="435"/>
        <v>87.000000000000014</v>
      </c>
      <c r="AP303">
        <f t="shared" si="436"/>
        <v>102.15623355076126</v>
      </c>
      <c r="AR303" s="5">
        <f t="shared" si="406"/>
        <v>9.7889278533659105</v>
      </c>
      <c r="AS303" s="5">
        <f t="shared" si="385"/>
        <v>4.8139161176281533</v>
      </c>
      <c r="AT303" s="5">
        <f t="shared" si="386"/>
        <v>4.9750117357377572</v>
      </c>
      <c r="AU303" s="153">
        <f t="shared" si="387"/>
        <v>0.49177153920619554</v>
      </c>
      <c r="CI303" s="59">
        <f t="shared" si="437"/>
        <v>-50</v>
      </c>
    </row>
    <row r="304" spans="5:87" x14ac:dyDescent="0.25">
      <c r="E304" s="150">
        <v>88</v>
      </c>
      <c r="F304" s="191">
        <f t="shared" si="438"/>
        <v>8.8000000000000009E-2</v>
      </c>
      <c r="G304" s="191">
        <f t="shared" si="407"/>
        <v>8.8000000000000009E-2</v>
      </c>
      <c r="H304" s="191">
        <f t="shared" si="408"/>
        <v>1.7600000000000002</v>
      </c>
      <c r="I304" s="191">
        <f t="shared" si="409"/>
        <v>1.4080000000000001</v>
      </c>
      <c r="J304" s="472">
        <f t="shared" si="410"/>
        <v>21</v>
      </c>
      <c r="K304" s="386">
        <f t="shared" si="411"/>
        <v>20.32</v>
      </c>
      <c r="L304" s="386">
        <f t="shared" si="412"/>
        <v>41.32</v>
      </c>
      <c r="M304" s="386"/>
      <c r="N304" s="191">
        <f t="shared" si="413"/>
        <v>0.49177153920619554</v>
      </c>
      <c r="O304" s="152">
        <f t="shared" si="414"/>
        <v>1.9363504356243948</v>
      </c>
      <c r="P304" s="152">
        <f t="shared" si="415"/>
        <v>2.7883446272991286</v>
      </c>
      <c r="Q304" s="191">
        <f t="shared" si="416"/>
        <v>9.6817521781219745E-2</v>
      </c>
      <c r="R304" s="191">
        <f t="shared" si="417"/>
        <v>0.12102190222652467</v>
      </c>
      <c r="S304" s="191">
        <f t="shared" si="418"/>
        <v>20</v>
      </c>
      <c r="T304" s="191">
        <f t="shared" si="419"/>
        <v>0.6816947881514811</v>
      </c>
      <c r="U304" s="191">
        <f t="shared" si="420"/>
        <v>4.8692484867962929</v>
      </c>
      <c r="V304" s="191">
        <f t="shared" si="421"/>
        <v>5.0321957786772717</v>
      </c>
      <c r="W304" s="175">
        <f t="shared" si="422"/>
        <v>350</v>
      </c>
      <c r="X304" s="386">
        <f t="shared" si="423"/>
        <v>100.9953672604117</v>
      </c>
      <c r="Z304" s="191">
        <f t="shared" si="424"/>
        <v>0.19670861568247827</v>
      </c>
      <c r="AA304" s="153">
        <f t="shared" si="425"/>
        <v>1.4520813165537272</v>
      </c>
      <c r="AB304" s="153">
        <f t="shared" si="426"/>
        <v>2.7770254714773877E-2</v>
      </c>
      <c r="AC304" s="153"/>
      <c r="AD304" s="153">
        <f t="shared" si="427"/>
        <v>1.1072834645669289</v>
      </c>
      <c r="AE304" s="317">
        <f t="shared" si="428"/>
        <v>1059.6503703703706</v>
      </c>
      <c r="AF304" s="463">
        <f t="shared" si="429"/>
        <v>2.9066190944881887E-2</v>
      </c>
      <c r="AH304" s="153">
        <f t="shared" si="430"/>
        <v>0.34739849493875807</v>
      </c>
      <c r="AI304" s="153">
        <f t="shared" si="431"/>
        <v>0.6816947881514811</v>
      </c>
      <c r="AJ304" s="153">
        <f t="shared" si="432"/>
        <v>1.5938479912233192</v>
      </c>
      <c r="AL304" s="317">
        <f t="shared" si="433"/>
        <v>88.000000000000014</v>
      </c>
      <c r="AM304" s="147">
        <f t="shared" si="434"/>
        <v>100.9953672604117</v>
      </c>
      <c r="AO304">
        <f t="shared" si="435"/>
        <v>88.000000000000014</v>
      </c>
      <c r="AP304">
        <f t="shared" si="436"/>
        <v>100.9953672604117</v>
      </c>
      <c r="AR304" s="5">
        <f t="shared" si="406"/>
        <v>9.9014442654735646</v>
      </c>
      <c r="AS304" s="5">
        <f t="shared" si="385"/>
        <v>4.8692484867962929</v>
      </c>
      <c r="AT304" s="5">
        <f t="shared" si="386"/>
        <v>5.0321957786772717</v>
      </c>
      <c r="AU304" s="153">
        <f t="shared" si="387"/>
        <v>0.49177153920619554</v>
      </c>
      <c r="CI304" s="59">
        <f t="shared" si="437"/>
        <v>-50</v>
      </c>
    </row>
    <row r="305" spans="4:87" x14ac:dyDescent="0.25">
      <c r="E305" s="150">
        <v>89</v>
      </c>
      <c r="F305" s="191">
        <f t="shared" si="438"/>
        <v>8.900000000000001E-2</v>
      </c>
      <c r="G305" s="191">
        <f t="shared" si="407"/>
        <v>8.900000000000001E-2</v>
      </c>
      <c r="H305" s="191">
        <f t="shared" si="408"/>
        <v>1.7800000000000002</v>
      </c>
      <c r="I305" s="191">
        <f t="shared" si="409"/>
        <v>1.4240000000000002</v>
      </c>
      <c r="J305" s="472">
        <f t="shared" si="410"/>
        <v>21</v>
      </c>
      <c r="K305" s="386">
        <f t="shared" si="411"/>
        <v>20.32</v>
      </c>
      <c r="L305" s="386">
        <f t="shared" si="412"/>
        <v>41.32</v>
      </c>
      <c r="M305" s="386"/>
      <c r="N305" s="191">
        <f t="shared" si="413"/>
        <v>0.49177153920619554</v>
      </c>
      <c r="O305" s="152">
        <f t="shared" si="414"/>
        <v>1.9363504356243948</v>
      </c>
      <c r="P305" s="152">
        <f t="shared" si="415"/>
        <v>2.7883446272991286</v>
      </c>
      <c r="Q305" s="191">
        <f t="shared" si="416"/>
        <v>9.6817521781219745E-2</v>
      </c>
      <c r="R305" s="191">
        <f t="shared" si="417"/>
        <v>0.12102190222652467</v>
      </c>
      <c r="S305" s="191">
        <f t="shared" si="418"/>
        <v>20</v>
      </c>
      <c r="T305" s="191">
        <f t="shared" si="419"/>
        <v>0.68944131983502066</v>
      </c>
      <c r="U305" s="191">
        <f t="shared" si="420"/>
        <v>4.9245808559644333</v>
      </c>
      <c r="V305" s="191">
        <f t="shared" si="421"/>
        <v>5.0893798216167863</v>
      </c>
      <c r="W305" s="175">
        <f t="shared" si="422"/>
        <v>350</v>
      </c>
      <c r="X305" s="386">
        <f t="shared" si="423"/>
        <v>99.86058785299133</v>
      </c>
      <c r="Z305" s="191">
        <f t="shared" si="424"/>
        <v>0.19670861568247827</v>
      </c>
      <c r="AA305" s="153">
        <f t="shared" si="425"/>
        <v>1.4520813165537272</v>
      </c>
      <c r="AB305" s="153">
        <f t="shared" si="426"/>
        <v>2.7770254714773877E-2</v>
      </c>
      <c r="AC305" s="153"/>
      <c r="AD305" s="153">
        <f t="shared" si="427"/>
        <v>1.1072834645669289</v>
      </c>
      <c r="AE305" s="317">
        <f t="shared" si="428"/>
        <v>1071.6918518518521</v>
      </c>
      <c r="AF305" s="463">
        <f t="shared" si="429"/>
        <v>2.9066190944881887E-2</v>
      </c>
      <c r="AH305" s="153">
        <f t="shared" si="430"/>
        <v>0.34936677411732059</v>
      </c>
      <c r="AI305" s="153">
        <f t="shared" si="431"/>
        <v>0.68944131983502066</v>
      </c>
      <c r="AJ305" s="153">
        <f t="shared" si="432"/>
        <v>1.5995861628407559</v>
      </c>
      <c r="AL305" s="317">
        <f t="shared" si="433"/>
        <v>89.000000000000014</v>
      </c>
      <c r="AM305" s="147">
        <f t="shared" si="434"/>
        <v>99.86058785299133</v>
      </c>
      <c r="AO305">
        <f t="shared" si="435"/>
        <v>89.000000000000014</v>
      </c>
      <c r="AP305">
        <f t="shared" si="436"/>
        <v>99.86058785299133</v>
      </c>
      <c r="AR305" s="5">
        <f t="shared" si="406"/>
        <v>10.013960677581219</v>
      </c>
      <c r="AS305" s="5">
        <f t="shared" si="385"/>
        <v>4.9245808559644333</v>
      </c>
      <c r="AT305" s="5">
        <f t="shared" si="386"/>
        <v>5.0893798216167854</v>
      </c>
      <c r="AU305" s="153">
        <f t="shared" si="387"/>
        <v>0.4917715392061956</v>
      </c>
      <c r="CI305" s="59">
        <f t="shared" si="437"/>
        <v>-50</v>
      </c>
    </row>
    <row r="306" spans="4:87" x14ac:dyDescent="0.25">
      <c r="E306" s="150">
        <v>90</v>
      </c>
      <c r="F306" s="191">
        <f t="shared" si="438"/>
        <v>9.0000000000000011E-2</v>
      </c>
      <c r="G306" s="191">
        <f t="shared" si="407"/>
        <v>9.0000000000000011E-2</v>
      </c>
      <c r="H306" s="191">
        <f t="shared" si="408"/>
        <v>1.8000000000000003</v>
      </c>
      <c r="I306" s="191">
        <f t="shared" si="409"/>
        <v>1.4400000000000002</v>
      </c>
      <c r="J306" s="472">
        <f t="shared" si="410"/>
        <v>21</v>
      </c>
      <c r="K306" s="386">
        <f t="shared" si="411"/>
        <v>20.32</v>
      </c>
      <c r="L306" s="386">
        <f t="shared" si="412"/>
        <v>41.32</v>
      </c>
      <c r="M306" s="386"/>
      <c r="N306" s="191">
        <f t="shared" si="413"/>
        <v>0.49177153920619554</v>
      </c>
      <c r="O306" s="152">
        <f t="shared" si="414"/>
        <v>1.9363504356243948</v>
      </c>
      <c r="P306" s="152">
        <f t="shared" si="415"/>
        <v>2.7883446272991286</v>
      </c>
      <c r="Q306" s="191">
        <f t="shared" si="416"/>
        <v>9.6817521781219745E-2</v>
      </c>
      <c r="R306" s="191">
        <f t="shared" si="417"/>
        <v>0.12102190222652467</v>
      </c>
      <c r="S306" s="191">
        <f t="shared" si="418"/>
        <v>20</v>
      </c>
      <c r="T306" s="191">
        <f t="shared" si="419"/>
        <v>0.69718785151856022</v>
      </c>
      <c r="U306" s="191">
        <f t="shared" si="420"/>
        <v>4.9799132251325728</v>
      </c>
      <c r="V306" s="191">
        <f t="shared" si="421"/>
        <v>5.1465638645563008</v>
      </c>
      <c r="W306" s="175">
        <f t="shared" si="422"/>
        <v>350</v>
      </c>
      <c r="X306" s="386">
        <f t="shared" si="423"/>
        <v>98.751025765735889</v>
      </c>
      <c r="Z306" s="191">
        <f t="shared" si="424"/>
        <v>0.19670861568247827</v>
      </c>
      <c r="AA306" s="153">
        <f t="shared" si="425"/>
        <v>1.4520813165537272</v>
      </c>
      <c r="AB306" s="153">
        <f t="shared" si="426"/>
        <v>2.7770254714773877E-2</v>
      </c>
      <c r="AC306" s="153"/>
      <c r="AD306" s="153">
        <f t="shared" si="427"/>
        <v>1.1072834645669289</v>
      </c>
      <c r="AE306" s="317">
        <f t="shared" si="428"/>
        <v>1083.7333333333336</v>
      </c>
      <c r="AF306" s="463">
        <f t="shared" si="429"/>
        <v>2.9066190944881887E-2</v>
      </c>
      <c r="AH306" s="153">
        <f t="shared" si="430"/>
        <v>0.35132402626147197</v>
      </c>
      <c r="AI306" s="153">
        <f t="shared" si="431"/>
        <v>0.69718785151856022</v>
      </c>
      <c r="AJ306" s="153">
        <f t="shared" si="432"/>
        <v>1.6053243344581927</v>
      </c>
      <c r="AL306" s="317">
        <f t="shared" si="433"/>
        <v>90.000000000000014</v>
      </c>
      <c r="AM306" s="147">
        <f t="shared" si="434"/>
        <v>98.751025765735889</v>
      </c>
      <c r="AO306">
        <f t="shared" si="435"/>
        <v>90.000000000000014</v>
      </c>
      <c r="AP306">
        <f t="shared" si="436"/>
        <v>98.751025765735889</v>
      </c>
      <c r="AR306" s="5">
        <f t="shared" si="406"/>
        <v>10.126477089688873</v>
      </c>
      <c r="AS306" s="5">
        <f t="shared" si="385"/>
        <v>4.9799132251325728</v>
      </c>
      <c r="AT306" s="5">
        <f t="shared" si="386"/>
        <v>5.1465638645562999</v>
      </c>
      <c r="AU306" s="153">
        <f t="shared" si="387"/>
        <v>0.4917715392061956</v>
      </c>
      <c r="CI306" s="59">
        <f t="shared" si="437"/>
        <v>-50</v>
      </c>
    </row>
    <row r="307" spans="4:87" x14ac:dyDescent="0.25">
      <c r="E307" s="150">
        <v>91</v>
      </c>
      <c r="F307" s="191">
        <f t="shared" si="438"/>
        <v>9.1000000000000011E-2</v>
      </c>
      <c r="G307" s="191">
        <f t="shared" si="407"/>
        <v>9.1000000000000011E-2</v>
      </c>
      <c r="H307" s="191">
        <f t="shared" si="408"/>
        <v>1.8200000000000003</v>
      </c>
      <c r="I307" s="191">
        <f t="shared" si="409"/>
        <v>1.4560000000000002</v>
      </c>
      <c r="J307" s="472">
        <f t="shared" si="410"/>
        <v>21</v>
      </c>
      <c r="K307" s="386">
        <f t="shared" si="411"/>
        <v>20.32</v>
      </c>
      <c r="L307" s="386">
        <f t="shared" si="412"/>
        <v>41.32</v>
      </c>
      <c r="M307" s="386"/>
      <c r="N307" s="191">
        <f t="shared" si="413"/>
        <v>0.49177153920619554</v>
      </c>
      <c r="O307" s="152">
        <f t="shared" si="414"/>
        <v>1.9363504356243948</v>
      </c>
      <c r="P307" s="152">
        <f t="shared" si="415"/>
        <v>2.7883446272991286</v>
      </c>
      <c r="Q307" s="191">
        <f t="shared" si="416"/>
        <v>9.6817521781219745E-2</v>
      </c>
      <c r="R307" s="191">
        <f t="shared" si="417"/>
        <v>0.12102190222652467</v>
      </c>
      <c r="S307" s="191">
        <f t="shared" si="418"/>
        <v>20</v>
      </c>
      <c r="T307" s="191">
        <f t="shared" si="419"/>
        <v>0.70493438320209989</v>
      </c>
      <c r="U307" s="191">
        <f t="shared" si="420"/>
        <v>5.0352455943007133</v>
      </c>
      <c r="V307" s="191">
        <f t="shared" si="421"/>
        <v>5.2037479074958162</v>
      </c>
      <c r="W307" s="175">
        <f t="shared" si="422"/>
        <v>350</v>
      </c>
      <c r="X307" s="386">
        <f t="shared" si="423"/>
        <v>97.6658496584201</v>
      </c>
      <c r="Z307" s="191">
        <f t="shared" si="424"/>
        <v>0.19670861568247827</v>
      </c>
      <c r="AA307" s="153">
        <f t="shared" si="425"/>
        <v>1.4520813165537272</v>
      </c>
      <c r="AB307" s="153">
        <f t="shared" si="426"/>
        <v>2.7770254714773877E-2</v>
      </c>
      <c r="AC307" s="153"/>
      <c r="AD307" s="153">
        <f t="shared" si="427"/>
        <v>1.1072834645669289</v>
      </c>
      <c r="AE307" s="317">
        <f t="shared" si="428"/>
        <v>1095.774814814815</v>
      </c>
      <c r="AF307" s="463">
        <f t="shared" si="429"/>
        <v>2.9066190944881887E-2</v>
      </c>
      <c r="AH307" s="153">
        <f t="shared" si="430"/>
        <v>0.35327043465311392</v>
      </c>
      <c r="AI307" s="153">
        <f t="shared" si="431"/>
        <v>0.70493438320209989</v>
      </c>
      <c r="AJ307" s="153">
        <f t="shared" si="432"/>
        <v>1.6110625060756294</v>
      </c>
      <c r="AL307" s="317">
        <f t="shared" si="433"/>
        <v>91.000000000000014</v>
      </c>
      <c r="AM307" s="147">
        <f t="shared" si="434"/>
        <v>97.6658496584201</v>
      </c>
      <c r="AO307">
        <f t="shared" si="435"/>
        <v>91.000000000000014</v>
      </c>
      <c r="AP307">
        <f t="shared" si="436"/>
        <v>97.6658496584201</v>
      </c>
      <c r="AR307" s="5">
        <f t="shared" si="406"/>
        <v>10.238993501796529</v>
      </c>
      <c r="AS307" s="5">
        <f t="shared" ref="AS307:AS316" si="439">L*AI307/J307*1000000</f>
        <v>5.0352455943007133</v>
      </c>
      <c r="AT307" s="5">
        <f t="shared" ref="AT307:AT316" si="440">AR307-AS307</f>
        <v>5.2037479074958153</v>
      </c>
      <c r="AU307" s="153">
        <f t="shared" ref="AU307:AU316" si="441">AS307/AR307</f>
        <v>0.4917715392061956</v>
      </c>
      <c r="CI307" s="59">
        <f t="shared" si="437"/>
        <v>-50</v>
      </c>
    </row>
    <row r="308" spans="4:87" x14ac:dyDescent="0.25">
      <c r="E308" s="150">
        <v>92</v>
      </c>
      <c r="F308" s="191">
        <f t="shared" si="438"/>
        <v>9.2000000000000012E-2</v>
      </c>
      <c r="G308" s="191">
        <f t="shared" si="407"/>
        <v>9.2000000000000012E-2</v>
      </c>
      <c r="H308" s="191">
        <f t="shared" si="408"/>
        <v>1.8400000000000003</v>
      </c>
      <c r="I308" s="191">
        <f t="shared" si="409"/>
        <v>1.4720000000000002</v>
      </c>
      <c r="J308" s="472">
        <f t="shared" si="410"/>
        <v>21</v>
      </c>
      <c r="K308" s="386">
        <f t="shared" si="411"/>
        <v>20.32</v>
      </c>
      <c r="L308" s="386">
        <f t="shared" si="412"/>
        <v>41.32</v>
      </c>
      <c r="M308" s="386"/>
      <c r="N308" s="191">
        <f t="shared" si="413"/>
        <v>0.49177153920619554</v>
      </c>
      <c r="O308" s="152">
        <f t="shared" si="414"/>
        <v>1.9363504356243948</v>
      </c>
      <c r="P308" s="152">
        <f t="shared" si="415"/>
        <v>2.7883446272991286</v>
      </c>
      <c r="Q308" s="191">
        <f t="shared" si="416"/>
        <v>9.6817521781219745E-2</v>
      </c>
      <c r="R308" s="191">
        <f t="shared" si="417"/>
        <v>0.12102190222652467</v>
      </c>
      <c r="S308" s="191">
        <f t="shared" si="418"/>
        <v>20</v>
      </c>
      <c r="T308" s="191">
        <f t="shared" si="419"/>
        <v>0.71268091488563934</v>
      </c>
      <c r="U308" s="191">
        <f t="shared" si="420"/>
        <v>5.0905779634688519</v>
      </c>
      <c r="V308" s="191">
        <f t="shared" si="421"/>
        <v>5.2609319504353289</v>
      </c>
      <c r="W308" s="175">
        <f t="shared" si="422"/>
        <v>350</v>
      </c>
      <c r="X308" s="386">
        <f t="shared" si="423"/>
        <v>96.604264336045972</v>
      </c>
      <c r="Z308" s="191">
        <f t="shared" si="424"/>
        <v>0.19670861568247827</v>
      </c>
      <c r="AA308" s="153">
        <f t="shared" si="425"/>
        <v>1.4520813165537272</v>
      </c>
      <c r="AB308" s="153">
        <f t="shared" si="426"/>
        <v>2.7770254714773877E-2</v>
      </c>
      <c r="AC308" s="153"/>
      <c r="AD308" s="153">
        <f t="shared" si="427"/>
        <v>1.1072834645669289</v>
      </c>
      <c r="AE308" s="317">
        <f t="shared" si="428"/>
        <v>1107.8162962962967</v>
      </c>
      <c r="AF308" s="463">
        <f t="shared" si="429"/>
        <v>2.9066190944881887E-2</v>
      </c>
      <c r="AH308" s="153">
        <f t="shared" si="430"/>
        <v>0.35520617755245842</v>
      </c>
      <c r="AI308" s="153">
        <f t="shared" si="431"/>
        <v>0.71268091488563934</v>
      </c>
      <c r="AJ308" s="153">
        <f t="shared" si="432"/>
        <v>1.6168006776930661</v>
      </c>
      <c r="AL308" s="317">
        <f t="shared" si="433"/>
        <v>92.000000000000014</v>
      </c>
      <c r="AM308" s="147">
        <f t="shared" si="434"/>
        <v>96.604264336045972</v>
      </c>
      <c r="AO308">
        <f t="shared" si="435"/>
        <v>92.000000000000014</v>
      </c>
      <c r="AP308">
        <f t="shared" si="436"/>
        <v>96.604264336045972</v>
      </c>
      <c r="AR308" s="5">
        <f t="shared" si="406"/>
        <v>10.351509913904181</v>
      </c>
      <c r="AS308" s="5">
        <f t="shared" si="439"/>
        <v>5.0905779634688519</v>
      </c>
      <c r="AT308" s="5">
        <f t="shared" si="440"/>
        <v>5.2609319504353289</v>
      </c>
      <c r="AU308" s="153">
        <f t="shared" si="441"/>
        <v>0.49177153920619554</v>
      </c>
      <c r="CI308" s="59">
        <f t="shared" si="437"/>
        <v>-50</v>
      </c>
    </row>
    <row r="309" spans="4:87" x14ac:dyDescent="0.25">
      <c r="E309" s="150">
        <v>93</v>
      </c>
      <c r="F309" s="191">
        <f t="shared" si="438"/>
        <v>9.3000000000000013E-2</v>
      </c>
      <c r="G309" s="191">
        <f t="shared" si="407"/>
        <v>9.3000000000000013E-2</v>
      </c>
      <c r="H309" s="191">
        <f t="shared" si="408"/>
        <v>1.8600000000000003</v>
      </c>
      <c r="I309" s="191">
        <f t="shared" si="409"/>
        <v>1.4880000000000002</v>
      </c>
      <c r="J309" s="472">
        <f t="shared" si="410"/>
        <v>21</v>
      </c>
      <c r="K309" s="386">
        <f t="shared" si="411"/>
        <v>20.32</v>
      </c>
      <c r="L309" s="386">
        <f t="shared" si="412"/>
        <v>41.32</v>
      </c>
      <c r="M309" s="386"/>
      <c r="N309" s="191">
        <f t="shared" si="413"/>
        <v>0.49177153920619554</v>
      </c>
      <c r="O309" s="152">
        <f t="shared" si="414"/>
        <v>1.9363504356243948</v>
      </c>
      <c r="P309" s="152">
        <f t="shared" si="415"/>
        <v>2.7883446272991286</v>
      </c>
      <c r="Q309" s="191">
        <f t="shared" si="416"/>
        <v>9.6817521781219745E-2</v>
      </c>
      <c r="R309" s="191">
        <f t="shared" si="417"/>
        <v>0.12102190222652467</v>
      </c>
      <c r="S309" s="191">
        <f t="shared" si="418"/>
        <v>20</v>
      </c>
      <c r="T309" s="191">
        <f t="shared" si="419"/>
        <v>0.72042744656917901</v>
      </c>
      <c r="U309" s="191">
        <f t="shared" si="420"/>
        <v>5.1459103326369924</v>
      </c>
      <c r="V309" s="191">
        <f t="shared" si="421"/>
        <v>5.3181159933748452</v>
      </c>
      <c r="W309" s="175">
        <f t="shared" si="422"/>
        <v>350</v>
      </c>
      <c r="X309" s="386">
        <f t="shared" si="423"/>
        <v>95.565508805550849</v>
      </c>
      <c r="Z309" s="191">
        <f t="shared" si="424"/>
        <v>0.19670861568247827</v>
      </c>
      <c r="AA309" s="153">
        <f t="shared" si="425"/>
        <v>1.4520813165537272</v>
      </c>
      <c r="AB309" s="153">
        <f t="shared" si="426"/>
        <v>2.7770254714773877E-2</v>
      </c>
      <c r="AC309" s="153"/>
      <c r="AD309" s="153">
        <f t="shared" si="427"/>
        <v>1.1072834645669289</v>
      </c>
      <c r="AE309" s="317">
        <f t="shared" si="428"/>
        <v>1119.857777777778</v>
      </c>
      <c r="AF309" s="463">
        <f t="shared" si="429"/>
        <v>2.9066190944881887E-2</v>
      </c>
      <c r="AH309" s="153">
        <f t="shared" si="430"/>
        <v>0.35713142838856565</v>
      </c>
      <c r="AI309" s="153">
        <f t="shared" si="431"/>
        <v>0.72042744656917901</v>
      </c>
      <c r="AJ309" s="153">
        <f t="shared" si="432"/>
        <v>1.6225388493105029</v>
      </c>
      <c r="AL309" s="317">
        <f t="shared" si="433"/>
        <v>93.000000000000014</v>
      </c>
      <c r="AM309" s="147">
        <f t="shared" si="434"/>
        <v>95.565508805550849</v>
      </c>
      <c r="AO309">
        <f t="shared" si="435"/>
        <v>93.000000000000014</v>
      </c>
      <c r="AP309">
        <f t="shared" si="436"/>
        <v>95.565508805550849</v>
      </c>
      <c r="AR309" s="5">
        <f t="shared" si="406"/>
        <v>10.464026326011835</v>
      </c>
      <c r="AS309" s="5">
        <f t="shared" si="439"/>
        <v>5.1459103326369924</v>
      </c>
      <c r="AT309" s="5">
        <f t="shared" si="440"/>
        <v>5.3181159933748425</v>
      </c>
      <c r="AU309" s="153">
        <f t="shared" si="441"/>
        <v>0.49177153920619565</v>
      </c>
      <c r="CI309" s="59">
        <f t="shared" si="437"/>
        <v>-50</v>
      </c>
    </row>
    <row r="310" spans="4:87" x14ac:dyDescent="0.25">
      <c r="E310" s="150">
        <v>94</v>
      </c>
      <c r="F310" s="191">
        <f t="shared" si="438"/>
        <v>9.4E-2</v>
      </c>
      <c r="G310" s="191">
        <f t="shared" si="407"/>
        <v>9.4E-2</v>
      </c>
      <c r="H310" s="191">
        <f t="shared" si="408"/>
        <v>1.88</v>
      </c>
      <c r="I310" s="191">
        <f t="shared" si="409"/>
        <v>1.504</v>
      </c>
      <c r="J310" s="472">
        <f t="shared" si="410"/>
        <v>21</v>
      </c>
      <c r="K310" s="386">
        <f t="shared" si="411"/>
        <v>20.32</v>
      </c>
      <c r="L310" s="386">
        <f t="shared" si="412"/>
        <v>41.32</v>
      </c>
      <c r="M310" s="386"/>
      <c r="N310" s="191">
        <f t="shared" si="413"/>
        <v>0.49177153920619554</v>
      </c>
      <c r="O310" s="152">
        <f t="shared" si="414"/>
        <v>1.9363504356243948</v>
      </c>
      <c r="P310" s="152">
        <f t="shared" si="415"/>
        <v>2.7883446272991286</v>
      </c>
      <c r="Q310" s="191">
        <f t="shared" si="416"/>
        <v>9.6817521781219745E-2</v>
      </c>
      <c r="R310" s="191">
        <f t="shared" si="417"/>
        <v>0.12102190222652467</v>
      </c>
      <c r="S310" s="191">
        <f t="shared" si="418"/>
        <v>20</v>
      </c>
      <c r="T310" s="191">
        <f t="shared" si="419"/>
        <v>0.72817397825271835</v>
      </c>
      <c r="U310" s="191">
        <f t="shared" si="420"/>
        <v>5.2012427018051302</v>
      </c>
      <c r="V310" s="191">
        <f t="shared" si="421"/>
        <v>5.375300036314357</v>
      </c>
      <c r="W310" s="175">
        <f t="shared" si="422"/>
        <v>350</v>
      </c>
      <c r="X310" s="386">
        <f t="shared" si="423"/>
        <v>94.548854456555659</v>
      </c>
      <c r="Z310" s="191">
        <f t="shared" si="424"/>
        <v>0.19670861568247827</v>
      </c>
      <c r="AA310" s="153">
        <f t="shared" si="425"/>
        <v>1.4520813165537272</v>
      </c>
      <c r="AB310" s="153">
        <f t="shared" si="426"/>
        <v>2.7770254714773877E-2</v>
      </c>
      <c r="AC310" s="153"/>
      <c r="AD310" s="153">
        <f t="shared" si="427"/>
        <v>1.1072834645669289</v>
      </c>
      <c r="AE310" s="317">
        <f t="shared" si="428"/>
        <v>1131.8992592592592</v>
      </c>
      <c r="AF310" s="463">
        <f t="shared" si="429"/>
        <v>2.9066190944881887E-2</v>
      </c>
      <c r="AH310" s="153">
        <f t="shared" si="430"/>
        <v>0.3590463559406859</v>
      </c>
      <c r="AI310" s="153">
        <f t="shared" si="431"/>
        <v>0.72817397825271835</v>
      </c>
      <c r="AJ310" s="153">
        <f t="shared" si="432"/>
        <v>1.6282770209279396</v>
      </c>
      <c r="AL310" s="317">
        <f t="shared" si="433"/>
        <v>94</v>
      </c>
      <c r="AM310" s="147">
        <f t="shared" si="434"/>
        <v>94.548854456555659</v>
      </c>
      <c r="AO310">
        <f t="shared" si="435"/>
        <v>94</v>
      </c>
      <c r="AP310">
        <f t="shared" si="436"/>
        <v>94.548854456555659</v>
      </c>
      <c r="AR310" s="5">
        <f t="shared" si="406"/>
        <v>10.576542738119487</v>
      </c>
      <c r="AS310" s="5">
        <f t="shared" si="439"/>
        <v>5.2012427018051302</v>
      </c>
      <c r="AT310" s="5">
        <f t="shared" si="440"/>
        <v>5.375300036314357</v>
      </c>
      <c r="AU310" s="153">
        <f t="shared" si="441"/>
        <v>0.49177153920619554</v>
      </c>
      <c r="CI310" s="59">
        <f t="shared" si="437"/>
        <v>-50</v>
      </c>
    </row>
    <row r="311" spans="4:87" x14ac:dyDescent="0.25">
      <c r="E311" s="150">
        <v>95</v>
      </c>
      <c r="F311" s="191">
        <f t="shared" si="438"/>
        <v>9.5000000000000001E-2</v>
      </c>
      <c r="G311" s="191">
        <f t="shared" si="407"/>
        <v>9.5000000000000001E-2</v>
      </c>
      <c r="H311" s="191">
        <f t="shared" si="408"/>
        <v>1.9</v>
      </c>
      <c r="I311" s="191">
        <f t="shared" si="409"/>
        <v>1.52</v>
      </c>
      <c r="J311" s="472">
        <f t="shared" si="410"/>
        <v>21</v>
      </c>
      <c r="K311" s="386">
        <f t="shared" si="411"/>
        <v>20.32</v>
      </c>
      <c r="L311" s="386">
        <f t="shared" si="412"/>
        <v>41.32</v>
      </c>
      <c r="M311" s="386"/>
      <c r="N311" s="191">
        <f t="shared" si="413"/>
        <v>0.49177153920619554</v>
      </c>
      <c r="O311" s="152">
        <f t="shared" si="414"/>
        <v>1.9363504356243948</v>
      </c>
      <c r="P311" s="152">
        <f t="shared" si="415"/>
        <v>2.7883446272991286</v>
      </c>
      <c r="Q311" s="191">
        <f t="shared" si="416"/>
        <v>9.6817521781219745E-2</v>
      </c>
      <c r="R311" s="191">
        <f t="shared" si="417"/>
        <v>0.12102190222652467</v>
      </c>
      <c r="S311" s="191">
        <f t="shared" si="418"/>
        <v>20</v>
      </c>
      <c r="T311" s="191">
        <f t="shared" si="419"/>
        <v>0.73592050993625791</v>
      </c>
      <c r="U311" s="191">
        <f t="shared" si="420"/>
        <v>5.2565750709732697</v>
      </c>
      <c r="V311" s="191">
        <f t="shared" si="421"/>
        <v>5.4324840792538716</v>
      </c>
      <c r="W311" s="175">
        <f t="shared" si="422"/>
        <v>350</v>
      </c>
      <c r="X311" s="386">
        <f t="shared" si="423"/>
        <v>93.55360335701296</v>
      </c>
      <c r="Z311" s="191">
        <f t="shared" si="424"/>
        <v>0.19670861568247827</v>
      </c>
      <c r="AA311" s="153">
        <f t="shared" si="425"/>
        <v>1.4520813165537272</v>
      </c>
      <c r="AB311" s="153">
        <f t="shared" si="426"/>
        <v>2.7770254714773877E-2</v>
      </c>
      <c r="AC311" s="153"/>
      <c r="AD311" s="153">
        <f t="shared" si="427"/>
        <v>1.1072834645669289</v>
      </c>
      <c r="AE311" s="317">
        <f t="shared" si="428"/>
        <v>1143.9407407407409</v>
      </c>
      <c r="AF311" s="463">
        <f t="shared" si="429"/>
        <v>2.9066190944881887E-2</v>
      </c>
      <c r="AH311" s="153">
        <f t="shared" si="430"/>
        <v>0.36095112451094302</v>
      </c>
      <c r="AI311" s="153">
        <f t="shared" si="431"/>
        <v>0.73592050993625791</v>
      </c>
      <c r="AJ311" s="153">
        <f t="shared" si="432"/>
        <v>1.6340151925453763</v>
      </c>
      <c r="AL311" s="317">
        <f t="shared" si="433"/>
        <v>95</v>
      </c>
      <c r="AM311" s="147">
        <f t="shared" si="434"/>
        <v>93.55360335701296</v>
      </c>
      <c r="AO311">
        <f t="shared" si="435"/>
        <v>95</v>
      </c>
      <c r="AP311">
        <f t="shared" si="436"/>
        <v>93.55360335701296</v>
      </c>
      <c r="AR311" s="5">
        <f t="shared" si="406"/>
        <v>10.689059150227143</v>
      </c>
      <c r="AS311" s="5">
        <f t="shared" si="439"/>
        <v>5.2565750709732697</v>
      </c>
      <c r="AT311" s="5">
        <f t="shared" si="440"/>
        <v>5.4324840792538733</v>
      </c>
      <c r="AU311" s="153">
        <f t="shared" si="441"/>
        <v>0.49177153920619543</v>
      </c>
      <c r="CI311" s="59">
        <f t="shared" si="437"/>
        <v>-50</v>
      </c>
    </row>
    <row r="312" spans="4:87" x14ac:dyDescent="0.25">
      <c r="E312" s="150">
        <v>96</v>
      </c>
      <c r="F312" s="191">
        <f t="shared" si="438"/>
        <v>9.6000000000000002E-2</v>
      </c>
      <c r="G312" s="191">
        <f t="shared" si="407"/>
        <v>9.6000000000000002E-2</v>
      </c>
      <c r="H312" s="191">
        <f t="shared" si="408"/>
        <v>1.92</v>
      </c>
      <c r="I312" s="191">
        <f t="shared" si="409"/>
        <v>1.536</v>
      </c>
      <c r="J312" s="472">
        <f t="shared" si="410"/>
        <v>21</v>
      </c>
      <c r="K312" s="386">
        <f t="shared" si="411"/>
        <v>20.32</v>
      </c>
      <c r="L312" s="386">
        <f t="shared" si="412"/>
        <v>41.32</v>
      </c>
      <c r="M312" s="386"/>
      <c r="N312" s="191">
        <f t="shared" si="413"/>
        <v>0.49177153920619554</v>
      </c>
      <c r="O312" s="152">
        <f t="shared" ref="O312:O316" si="442">N312*J312*Isw_max*0.5*Efficiency*Pout/(Pout+Pout2)</f>
        <v>1.9363504356243948</v>
      </c>
      <c r="P312" s="152">
        <f t="shared" si="415"/>
        <v>2.7883446272991286</v>
      </c>
      <c r="Q312" s="191">
        <f t="shared" si="416"/>
        <v>9.6817521781219745E-2</v>
      </c>
      <c r="R312" s="191">
        <f t="shared" si="417"/>
        <v>0.12102190222652467</v>
      </c>
      <c r="S312" s="191">
        <f t="shared" si="418"/>
        <v>20</v>
      </c>
      <c r="T312" s="191">
        <f t="shared" si="419"/>
        <v>0.74366704161979746</v>
      </c>
      <c r="U312" s="191">
        <f t="shared" si="420"/>
        <v>5.3119074401414093</v>
      </c>
      <c r="V312" s="191">
        <f t="shared" si="421"/>
        <v>5.4896681221933861</v>
      </c>
      <c r="W312" s="175">
        <f t="shared" si="422"/>
        <v>350</v>
      </c>
      <c r="X312" s="386">
        <f t="shared" si="423"/>
        <v>92.579086655377409</v>
      </c>
      <c r="Z312" s="191">
        <f t="shared" si="424"/>
        <v>0.19670861568247827</v>
      </c>
      <c r="AA312" s="153">
        <f t="shared" si="425"/>
        <v>1.4520813165537272</v>
      </c>
      <c r="AB312" s="153">
        <f t="shared" ref="AB312:AB316" si="443">0.5*AA312*Z312*Nps*W312/1000*(Pout/(Pout+Pout2))</f>
        <v>2.7770254714773877E-2</v>
      </c>
      <c r="AC312" s="153"/>
      <c r="AD312" s="153">
        <f t="shared" si="427"/>
        <v>1.1072834645669289</v>
      </c>
      <c r="AE312" s="317">
        <f t="shared" ref="AE312:AE316" si="444">MAX(10, F312/(0.5*AD312/1000000*Isw_min*Nps)/1000*Pout_total/Pout)</f>
        <v>1155.9822222222222</v>
      </c>
      <c r="AF312" s="463">
        <f t="shared" si="429"/>
        <v>2.9066190944881887E-2</v>
      </c>
      <c r="AH312" s="153">
        <f t="shared" si="430"/>
        <v>0.36284589408885815</v>
      </c>
      <c r="AI312" s="153">
        <f t="shared" ref="AI312:AI316" si="445">MAX(IF(F312&gt;AB312,T312,AH312),Isw_min)</f>
        <v>0.74366704161979746</v>
      </c>
      <c r="AJ312" s="153">
        <f t="shared" ref="AJ312:AJ316" si="446">IF(F312&gt;AF312, (AI312-Isw_min)/1.08*0.8+1.2, AE312*0.2/350+1)</f>
        <v>1.6397533641628128</v>
      </c>
      <c r="AL312" s="317">
        <f t="shared" si="433"/>
        <v>96</v>
      </c>
      <c r="AM312" s="147">
        <f t="shared" si="434"/>
        <v>92.579086655377409</v>
      </c>
      <c r="AO312">
        <f t="shared" si="435"/>
        <v>96</v>
      </c>
      <c r="AP312">
        <f t="shared" si="436"/>
        <v>92.579086655377409</v>
      </c>
      <c r="AR312" s="5">
        <f t="shared" si="406"/>
        <v>10.801575562334795</v>
      </c>
      <c r="AS312" s="5">
        <f t="shared" si="439"/>
        <v>5.3119074401414093</v>
      </c>
      <c r="AT312" s="5">
        <f t="shared" si="440"/>
        <v>5.4896681221933861</v>
      </c>
      <c r="AU312" s="153">
        <f t="shared" si="441"/>
        <v>0.49177153920619554</v>
      </c>
      <c r="CI312" s="59">
        <f t="shared" si="437"/>
        <v>-50</v>
      </c>
    </row>
    <row r="313" spans="4:87" x14ac:dyDescent="0.25">
      <c r="E313" s="150">
        <v>97</v>
      </c>
      <c r="F313" s="191">
        <f t="shared" ref="F313:F316" si="447">IF(PLOT_TYPE=1, E313/100*Iout_max, min_I*EXP(O313*rr/100))</f>
        <v>9.7000000000000003E-2</v>
      </c>
      <c r="G313" s="191">
        <f t="shared" si="407"/>
        <v>9.7000000000000003E-2</v>
      </c>
      <c r="H313" s="191">
        <f t="shared" si="408"/>
        <v>1.94</v>
      </c>
      <c r="I313" s="191">
        <f t="shared" si="409"/>
        <v>1.552</v>
      </c>
      <c r="J313" s="472">
        <f t="shared" si="410"/>
        <v>21</v>
      </c>
      <c r="K313" s="386">
        <f t="shared" si="411"/>
        <v>20.282375624993762</v>
      </c>
      <c r="L313" s="386">
        <f t="shared" si="412"/>
        <v>41.32</v>
      </c>
      <c r="M313" s="386"/>
      <c r="N313" s="191">
        <f t="shared" si="413"/>
        <v>0.49177153920619554</v>
      </c>
      <c r="O313" s="152">
        <f t="shared" si="442"/>
        <v>1.9363504356243948</v>
      </c>
      <c r="P313" s="152">
        <f t="shared" si="415"/>
        <v>2.7883446272991286</v>
      </c>
      <c r="Q313" s="191">
        <f t="shared" si="416"/>
        <v>9.6817521781219745E-2</v>
      </c>
      <c r="R313" s="191">
        <f t="shared" si="417"/>
        <v>0.12102190222652467</v>
      </c>
      <c r="S313" s="191">
        <f t="shared" si="418"/>
        <v>19.962375624993761</v>
      </c>
      <c r="T313" s="191">
        <f t="shared" si="419"/>
        <v>0.75</v>
      </c>
      <c r="U313" s="191">
        <f t="shared" si="420"/>
        <v>5.3571428571428568</v>
      </c>
      <c r="V313" s="191">
        <f t="shared" si="421"/>
        <v>5.5466875320742712</v>
      </c>
      <c r="W313" s="175">
        <f t="shared" si="422"/>
        <v>350</v>
      </c>
      <c r="X313" s="386">
        <f t="shared" si="423"/>
        <v>91.710890971754935</v>
      </c>
      <c r="Z313" s="191">
        <f t="shared" si="424"/>
        <v>0.19652333779661771</v>
      </c>
      <c r="AA313" s="153">
        <f t="shared" si="425"/>
        <v>1.4534047300241597</v>
      </c>
      <c r="AB313" s="153">
        <f t="shared" si="443"/>
        <v>2.7769383902724716E-2</v>
      </c>
      <c r="AC313" s="153"/>
      <c r="AD313" s="153">
        <f t="shared" si="427"/>
        <v>1.1093375064148541</v>
      </c>
      <c r="AE313" s="317">
        <f t="shared" si="444"/>
        <v>1165.8609988885305</v>
      </c>
      <c r="AF313" s="463">
        <f t="shared" si="429"/>
        <v>2.9120109543389918E-2</v>
      </c>
      <c r="AH313" s="153">
        <f t="shared" si="430"/>
        <v>0.36473082050818167</v>
      </c>
      <c r="AI313" s="153">
        <f t="shared" si="445"/>
        <v>0.75</v>
      </c>
      <c r="AJ313" s="153">
        <f t="shared" si="446"/>
        <v>1.6444444444444444</v>
      </c>
      <c r="AL313" s="317">
        <f t="shared" si="433"/>
        <v>97</v>
      </c>
      <c r="AM313" s="147">
        <f t="shared" si="434"/>
        <v>91.710890971754935</v>
      </c>
      <c r="AO313" t="str">
        <f t="shared" si="435"/>
        <v/>
      </c>
      <c r="AP313" t="str">
        <f t="shared" si="436"/>
        <v/>
      </c>
      <c r="AR313" s="5">
        <f t="shared" si="406"/>
        <v>10.903830389217125</v>
      </c>
      <c r="AS313" s="5">
        <f t="shared" si="439"/>
        <v>5.3571428571428568</v>
      </c>
      <c r="AT313" s="5">
        <f t="shared" si="440"/>
        <v>5.5466875320742686</v>
      </c>
      <c r="AU313" s="153">
        <f t="shared" si="441"/>
        <v>0.49130834449154426</v>
      </c>
      <c r="CI313" s="59">
        <f t="shared" si="437"/>
        <v>91.710890971754935</v>
      </c>
    </row>
    <row r="314" spans="4:87" x14ac:dyDescent="0.25">
      <c r="E314" s="150">
        <v>98</v>
      </c>
      <c r="F314" s="191">
        <f t="shared" si="447"/>
        <v>9.8000000000000004E-2</v>
      </c>
      <c r="G314" s="191">
        <f t="shared" si="407"/>
        <v>9.8000000000000004E-2</v>
      </c>
      <c r="H314" s="191">
        <f t="shared" si="408"/>
        <v>1.96</v>
      </c>
      <c r="I314" s="191">
        <f t="shared" si="409"/>
        <v>1.5680000000000001</v>
      </c>
      <c r="J314" s="472">
        <f t="shared" si="410"/>
        <v>21</v>
      </c>
      <c r="K314" s="386">
        <f t="shared" si="411"/>
        <v>20.078677914534641</v>
      </c>
      <c r="L314" s="386">
        <f t="shared" si="412"/>
        <v>41.32</v>
      </c>
      <c r="M314" s="386"/>
      <c r="N314" s="191">
        <f t="shared" si="413"/>
        <v>0.49177153920619554</v>
      </c>
      <c r="O314" s="152">
        <f t="shared" si="442"/>
        <v>1.9363504356243948</v>
      </c>
      <c r="P314" s="152">
        <f t="shared" si="415"/>
        <v>2.7883446272991286</v>
      </c>
      <c r="Q314" s="191">
        <f t="shared" si="416"/>
        <v>9.6817521781219745E-2</v>
      </c>
      <c r="R314" s="191">
        <f t="shared" si="417"/>
        <v>0.12102190222652467</v>
      </c>
      <c r="S314" s="191">
        <f t="shared" si="418"/>
        <v>19.758677914534641</v>
      </c>
      <c r="T314" s="191">
        <f t="shared" si="419"/>
        <v>0.75</v>
      </c>
      <c r="U314" s="191">
        <f t="shared" si="420"/>
        <v>5.3571428571428568</v>
      </c>
      <c r="V314" s="191">
        <f t="shared" si="421"/>
        <v>5.6029585453215027</v>
      </c>
      <c r="W314" s="175">
        <f t="shared" si="422"/>
        <v>350</v>
      </c>
      <c r="X314" s="386">
        <f t="shared" si="423"/>
        <v>91.24003175510326</v>
      </c>
      <c r="Z314" s="191">
        <f t="shared" si="424"/>
        <v>0.19551435376093559</v>
      </c>
      <c r="AA314" s="153">
        <f t="shared" si="425"/>
        <v>1.4606117588504604</v>
      </c>
      <c r="AB314" s="153">
        <f t="shared" si="443"/>
        <v>2.7763804845706931E-2</v>
      </c>
      <c r="AC314" s="153"/>
      <c r="AD314" s="153">
        <f t="shared" si="427"/>
        <v>1.1205917090643005</v>
      </c>
      <c r="AE314" s="317">
        <f t="shared" si="444"/>
        <v>1166.0506285181602</v>
      </c>
      <c r="AF314" s="463">
        <f t="shared" si="429"/>
        <v>2.9415532362937886E-2</v>
      </c>
      <c r="AH314" s="153">
        <f t="shared" si="430"/>
        <v>0.36660605559646725</v>
      </c>
      <c r="AI314" s="153">
        <f t="shared" si="445"/>
        <v>0.75</v>
      </c>
      <c r="AJ314" s="153">
        <f t="shared" si="446"/>
        <v>1.6444444444444444</v>
      </c>
      <c r="AL314" s="317">
        <f t="shared" si="433"/>
        <v>98</v>
      </c>
      <c r="AM314" s="147">
        <f t="shared" si="434"/>
        <v>91.24003175510326</v>
      </c>
      <c r="AO314" t="str">
        <f t="shared" si="435"/>
        <v/>
      </c>
      <c r="AP314" t="str">
        <f t="shared" si="436"/>
        <v/>
      </c>
      <c r="AR314" s="5">
        <f t="shared" si="406"/>
        <v>10.96010140246436</v>
      </c>
      <c r="AS314" s="5">
        <f t="shared" si="439"/>
        <v>5.3571428571428568</v>
      </c>
      <c r="AT314" s="5">
        <f t="shared" si="440"/>
        <v>5.6029585453215036</v>
      </c>
      <c r="AU314" s="153">
        <f t="shared" si="441"/>
        <v>0.48878588440233883</v>
      </c>
      <c r="CI314" s="59">
        <f t="shared" si="437"/>
        <v>-50</v>
      </c>
    </row>
    <row r="315" spans="4:87" x14ac:dyDescent="0.25">
      <c r="E315" s="150">
        <v>99</v>
      </c>
      <c r="F315" s="191">
        <f t="shared" si="447"/>
        <v>9.9000000000000005E-2</v>
      </c>
      <c r="G315" s="191">
        <f t="shared" si="407"/>
        <v>9.9000000000000005E-2</v>
      </c>
      <c r="H315" s="191">
        <f t="shared" si="408"/>
        <v>1.98</v>
      </c>
      <c r="I315" s="191">
        <f t="shared" si="409"/>
        <v>1.5840000000000001</v>
      </c>
      <c r="J315" s="472">
        <f t="shared" si="410"/>
        <v>21</v>
      </c>
      <c r="K315" s="386">
        <f t="shared" si="411"/>
        <v>19.87909530933732</v>
      </c>
      <c r="L315" s="386">
        <f t="shared" si="412"/>
        <v>41.32</v>
      </c>
      <c r="M315" s="386"/>
      <c r="N315" s="191">
        <f t="shared" si="413"/>
        <v>0.49177153920619554</v>
      </c>
      <c r="O315" s="152">
        <f t="shared" si="442"/>
        <v>1.9363504356243948</v>
      </c>
      <c r="P315" s="152">
        <f t="shared" si="415"/>
        <v>2.7883446272991286</v>
      </c>
      <c r="Q315" s="191">
        <f t="shared" si="416"/>
        <v>9.6817521781219745E-2</v>
      </c>
      <c r="R315" s="191">
        <f t="shared" si="417"/>
        <v>0.12102190222652467</v>
      </c>
      <c r="S315" s="191">
        <f t="shared" si="418"/>
        <v>19.559095309337319</v>
      </c>
      <c r="T315" s="191">
        <f t="shared" si="419"/>
        <v>0.75</v>
      </c>
      <c r="U315" s="191">
        <f t="shared" si="420"/>
        <v>5.3571428571428568</v>
      </c>
      <c r="V315" s="191">
        <f t="shared" si="421"/>
        <v>5.6592112593352342</v>
      </c>
      <c r="W315" s="175">
        <f t="shared" si="422"/>
        <v>350</v>
      </c>
      <c r="X315" s="386">
        <f t="shared" si="423"/>
        <v>90.774133567857589</v>
      </c>
      <c r="Z315" s="191">
        <f t="shared" si="424"/>
        <v>0.19451600050255199</v>
      </c>
      <c r="AA315" s="153">
        <f t="shared" si="425"/>
        <v>1.4677428535532004</v>
      </c>
      <c r="AB315" s="153">
        <f t="shared" si="443"/>
        <v>2.7756892881605558E-2</v>
      </c>
      <c r="AC315" s="153"/>
      <c r="AD315" s="153">
        <f t="shared" si="427"/>
        <v>1.1318422518670468</v>
      </c>
      <c r="AE315" s="317">
        <f t="shared" si="444"/>
        <v>1166.2402581477893</v>
      </c>
      <c r="AF315" s="463">
        <f t="shared" si="429"/>
        <v>2.9710859111509978E-2</v>
      </c>
      <c r="AH315" s="153">
        <f t="shared" si="430"/>
        <v>0.36847174731779447</v>
      </c>
      <c r="AI315" s="153">
        <f t="shared" si="445"/>
        <v>0.75</v>
      </c>
      <c r="AJ315" s="153">
        <f t="shared" si="446"/>
        <v>1.6444444444444444</v>
      </c>
      <c r="AL315" s="317">
        <f t="shared" si="433"/>
        <v>99</v>
      </c>
      <c r="AM315" s="147">
        <f t="shared" si="434"/>
        <v>90.774133567857589</v>
      </c>
      <c r="AO315" t="str">
        <f t="shared" si="435"/>
        <v/>
      </c>
      <c r="AP315" t="str">
        <f t="shared" si="436"/>
        <v/>
      </c>
      <c r="AR315" s="5">
        <f t="shared" si="406"/>
        <v>11.016354116478091</v>
      </c>
      <c r="AS315" s="5">
        <f t="shared" si="439"/>
        <v>5.3571428571428568</v>
      </c>
      <c r="AT315" s="5">
        <f t="shared" si="440"/>
        <v>5.6592112593352342</v>
      </c>
      <c r="AU315" s="153">
        <f t="shared" si="441"/>
        <v>0.48629000125637989</v>
      </c>
      <c r="CI315" s="59">
        <f t="shared" si="437"/>
        <v>-50</v>
      </c>
    </row>
    <row r="316" spans="4:87" x14ac:dyDescent="0.25">
      <c r="E316" s="150">
        <v>100</v>
      </c>
      <c r="F316" s="191">
        <f t="shared" si="447"/>
        <v>0.1</v>
      </c>
      <c r="G316" s="191">
        <f t="shared" si="407"/>
        <v>0.1</v>
      </c>
      <c r="H316" s="191">
        <f t="shared" si="408"/>
        <v>2</v>
      </c>
      <c r="I316" s="191">
        <f t="shared" si="409"/>
        <v>1.6</v>
      </c>
      <c r="J316" s="472">
        <f t="shared" si="410"/>
        <v>21</v>
      </c>
      <c r="K316" s="386">
        <f t="shared" si="411"/>
        <v>19.683504356243947</v>
      </c>
      <c r="L316" s="386">
        <f t="shared" si="412"/>
        <v>41.32</v>
      </c>
      <c r="M316" s="386"/>
      <c r="N316" s="191">
        <f t="shared" si="413"/>
        <v>0.49177153920619554</v>
      </c>
      <c r="O316" s="152">
        <f t="shared" si="442"/>
        <v>1.9363504356243948</v>
      </c>
      <c r="P316" s="152">
        <f t="shared" si="415"/>
        <v>2.7883446272991286</v>
      </c>
      <c r="Q316" s="191">
        <f t="shared" si="416"/>
        <v>9.6817521781219745E-2</v>
      </c>
      <c r="R316" s="191">
        <f t="shared" si="417"/>
        <v>0.12102190222652467</v>
      </c>
      <c r="S316" s="191">
        <f t="shared" si="418"/>
        <v>19.363504356243947</v>
      </c>
      <c r="T316" s="191">
        <f t="shared" si="419"/>
        <v>0.75</v>
      </c>
      <c r="U316" s="191">
        <f t="shared" si="420"/>
        <v>5.3571428571428568</v>
      </c>
      <c r="V316" s="191">
        <f t="shared" si="421"/>
        <v>5.71544568304033</v>
      </c>
      <c r="W316" s="175">
        <f t="shared" si="422"/>
        <v>350</v>
      </c>
      <c r="X316" s="386">
        <f t="shared" si="423"/>
        <v>90.313118415890827</v>
      </c>
      <c r="Z316" s="191">
        <f t="shared" si="424"/>
        <v>0.19352811089119468</v>
      </c>
      <c r="AA316" s="153">
        <f t="shared" si="425"/>
        <v>1.4747992079200383</v>
      </c>
      <c r="AB316" s="153">
        <f t="shared" si="443"/>
        <v>2.7748690730113424E-2</v>
      </c>
      <c r="AC316" s="153"/>
      <c r="AD316" s="153">
        <f t="shared" si="427"/>
        <v>1.143089136608066</v>
      </c>
      <c r="AE316" s="317">
        <f t="shared" si="444"/>
        <v>1166.4298877774193</v>
      </c>
      <c r="AF316" s="463">
        <f t="shared" si="429"/>
        <v>3.000608983596173E-2</v>
      </c>
      <c r="AH316" s="153">
        <f t="shared" si="430"/>
        <v>0.37032803990902063</v>
      </c>
      <c r="AI316" s="153">
        <f t="shared" si="445"/>
        <v>0.75</v>
      </c>
      <c r="AJ316" s="153">
        <f t="shared" si="446"/>
        <v>1.6444444444444444</v>
      </c>
      <c r="AL316" s="317">
        <f t="shared" si="433"/>
        <v>100</v>
      </c>
      <c r="AM316" s="147">
        <f t="shared" si="434"/>
        <v>90.313118415890827</v>
      </c>
      <c r="AO316" t="str">
        <f t="shared" si="435"/>
        <v/>
      </c>
      <c r="AP316" t="str">
        <f t="shared" si="436"/>
        <v/>
      </c>
      <c r="AR316" s="5">
        <f t="shared" si="406"/>
        <v>11.072588540183188</v>
      </c>
      <c r="AS316" s="5">
        <f t="shared" si="439"/>
        <v>5.3571428571428568</v>
      </c>
      <c r="AT316" s="5">
        <f t="shared" si="440"/>
        <v>5.7154456830403317</v>
      </c>
      <c r="AU316" s="153">
        <f t="shared" si="441"/>
        <v>0.48382027722798654</v>
      </c>
      <c r="CI316" s="59">
        <f t="shared" si="437"/>
        <v>-50</v>
      </c>
    </row>
    <row r="317" spans="4:87" x14ac:dyDescent="0.25">
      <c r="E317" s="150"/>
      <c r="F317" s="191"/>
      <c r="G317" s="191"/>
    </row>
    <row r="319" spans="4:87" x14ac:dyDescent="0.25">
      <c r="D319" s="59" t="s">
        <v>824</v>
      </c>
    </row>
    <row r="320" spans="4:87" x14ac:dyDescent="0.25">
      <c r="E320" s="59" t="s">
        <v>840</v>
      </c>
      <c r="K320" s="59"/>
      <c r="L320" s="59" t="s">
        <v>844</v>
      </c>
    </row>
    <row r="321" spans="5:16" x14ac:dyDescent="0.25">
      <c r="F321" s="59" t="s">
        <v>841</v>
      </c>
      <c r="G321" s="59" t="s">
        <v>842</v>
      </c>
      <c r="M321" s="59" t="s">
        <v>845</v>
      </c>
      <c r="N321" s="59" t="s">
        <v>846</v>
      </c>
    </row>
    <row r="322" spans="5:16" x14ac:dyDescent="0.25">
      <c r="F322">
        <f>'LM(2)518x PSR flyback converter'!E57</f>
        <v>5.0000000000000001E-3</v>
      </c>
      <c r="G322" s="649">
        <f>F322*Vout</f>
        <v>0.1</v>
      </c>
      <c r="M322">
        <f>'LM(2)518x PSR flyback converter'!L57</f>
        <v>-5.0000000000000001E-3</v>
      </c>
      <c r="N322" s="649">
        <f>M322*'LM(2)518x PSR flyback converter'!E12</f>
        <v>0.08</v>
      </c>
    </row>
    <row r="323" spans="5:16" x14ac:dyDescent="0.25">
      <c r="E323" t="s">
        <v>832</v>
      </c>
      <c r="L323" t="s">
        <v>832</v>
      </c>
    </row>
    <row r="324" spans="5:16" x14ac:dyDescent="0.25">
      <c r="F324" t="s">
        <v>833</v>
      </c>
      <c r="G324" t="s">
        <v>834</v>
      </c>
      <c r="H324" t="s">
        <v>835</v>
      </c>
      <c r="I324" s="59" t="s">
        <v>676</v>
      </c>
      <c r="M324" t="s">
        <v>833</v>
      </c>
      <c r="N324" t="s">
        <v>834</v>
      </c>
      <c r="O324" t="s">
        <v>835</v>
      </c>
      <c r="P324" s="59" t="s">
        <v>676</v>
      </c>
    </row>
    <row r="325" spans="5:16" x14ac:dyDescent="0.25">
      <c r="F325" s="648">
        <v>1.9999999999999999E-7</v>
      </c>
      <c r="G325">
        <f>VIN_max</f>
        <v>21</v>
      </c>
      <c r="H325">
        <f>15000</f>
        <v>15000</v>
      </c>
      <c r="I325">
        <f>L*0.9</f>
        <v>1.35E-4</v>
      </c>
      <c r="M325" s="648">
        <v>1.9999999999999999E-7</v>
      </c>
      <c r="N325">
        <f>VIN_max</f>
        <v>21</v>
      </c>
      <c r="O325">
        <f>15000</f>
        <v>15000</v>
      </c>
      <c r="P325">
        <f>L*0.9</f>
        <v>1.35E-4</v>
      </c>
    </row>
    <row r="326" spans="5:16" x14ac:dyDescent="0.25">
      <c r="G326" s="59" t="s">
        <v>836</v>
      </c>
      <c r="N326" s="59" t="s">
        <v>836</v>
      </c>
    </row>
    <row r="327" spans="5:16" x14ac:dyDescent="0.25">
      <c r="G327" s="649">
        <f>0.5*(G325/I325*F325)^2*H325*I325</f>
        <v>9.7999999999999997E-4</v>
      </c>
      <c r="N327" s="649">
        <f>0.5*(N325/P325*M325)^2*O325*P325</f>
        <v>9.7999999999999997E-4</v>
      </c>
    </row>
    <row r="328" spans="5:16" x14ac:dyDescent="0.25">
      <c r="E328" s="59" t="s">
        <v>843</v>
      </c>
      <c r="K328" s="59"/>
      <c r="L328" s="59" t="s">
        <v>847</v>
      </c>
    </row>
    <row r="329" spans="5:16" x14ac:dyDescent="0.25">
      <c r="G329" t="str">
        <f>IF(G322+N322&lt;G327, "Yes", IF(G322&lt;G327, "Yes", "No"))</f>
        <v>No</v>
      </c>
      <c r="H329">
        <f>(Vout*1.05)^2/(G327-G322)</f>
        <v>-4453.6457281357298</v>
      </c>
      <c r="N329" t="str">
        <f>IF(G322+N322&lt;N327, "Yes", IF(N322&lt;N327, "Yes", "No"))</f>
        <v>No</v>
      </c>
      <c r="O329">
        <f>(Vout2*1.05)^2/(N327-N322)</f>
        <v>-3571.7539863325737</v>
      </c>
    </row>
    <row r="332" spans="5:16" x14ac:dyDescent="0.25">
      <c r="E332" s="59"/>
    </row>
    <row r="333" spans="5:16" x14ac:dyDescent="0.25">
      <c r="F333" s="59"/>
      <c r="G333" s="59"/>
    </row>
    <row r="334" spans="5:16" x14ac:dyDescent="0.25">
      <c r="G334" s="649"/>
    </row>
    <row r="336" spans="5:16" x14ac:dyDescent="0.25">
      <c r="I336" s="59"/>
    </row>
    <row r="337" spans="5:7" x14ac:dyDescent="0.25">
      <c r="F337" s="648"/>
    </row>
    <row r="338" spans="5:7" x14ac:dyDescent="0.25">
      <c r="G338" s="59"/>
    </row>
    <row r="339" spans="5:7" x14ac:dyDescent="0.25">
      <c r="G339" s="649"/>
    </row>
    <row r="340" spans="5:7" x14ac:dyDescent="0.25">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3.2" x14ac:dyDescent="0.25"/>
  <cols>
    <col min="3" max="3" width="7.6640625" customWidth="1"/>
    <col min="5" max="5" width="10.33203125" customWidth="1"/>
    <col min="7" max="7" width="10.6640625" customWidth="1"/>
    <col min="8" max="8" width="9.6640625" customWidth="1"/>
    <col min="9" max="9" width="9.5546875" customWidth="1"/>
    <col min="10" max="10" width="8.6640625" customWidth="1"/>
    <col min="11" max="11" width="9.6640625" customWidth="1"/>
    <col min="12" max="12" width="10.6640625" customWidth="1"/>
    <col min="13" max="13" width="15" customWidth="1"/>
    <col min="14" max="14" width="11.44140625" customWidth="1"/>
    <col min="15" max="16" width="11" customWidth="1"/>
    <col min="17" max="18" width="11.33203125" customWidth="1"/>
    <col min="19" max="19" width="5.33203125" customWidth="1"/>
  </cols>
  <sheetData>
    <row r="3" spans="3:19" ht="13.8" thickBot="1" x14ac:dyDescent="0.3"/>
    <row r="4" spans="3:19" x14ac:dyDescent="0.25">
      <c r="C4" s="194" t="s">
        <v>428</v>
      </c>
      <c r="D4" s="195"/>
      <c r="E4" s="196"/>
      <c r="F4" s="728" t="s">
        <v>189</v>
      </c>
      <c r="G4" s="729"/>
      <c r="H4" s="728"/>
      <c r="I4" s="728"/>
      <c r="J4" s="728"/>
      <c r="K4" s="729"/>
      <c r="L4" s="729"/>
      <c r="M4" s="729"/>
      <c r="N4" s="728"/>
      <c r="O4" s="731"/>
      <c r="P4" s="468"/>
      <c r="Q4" s="468"/>
      <c r="R4" s="468"/>
      <c r="S4" s="468"/>
    </row>
    <row r="5" spans="3:19" ht="45" customHeight="1" thickBot="1" x14ac:dyDescent="0.3">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5">
      <c r="C6" s="150">
        <v>0.1</v>
      </c>
      <c r="D6" s="464">
        <f>VIN_min</f>
        <v>9</v>
      </c>
      <c r="E6" s="386">
        <f t="shared" ref="E6:E37" si="0">(Vout+Vfwd1)*Nps</f>
        <v>20.32</v>
      </c>
      <c r="F6" s="191">
        <f t="shared" ref="F6:F37" si="1">(Vout+Vfwd1)*Nps/((Vout+Vfwd1)*Nps+D6)</f>
        <v>0.69304229195088674</v>
      </c>
      <c r="G6" s="152">
        <f t="shared" ref="G6:G37" si="2">F6*D6*Isw_max*0.5*Efficiency</f>
        <v>2.1051159618008182</v>
      </c>
      <c r="H6" s="191">
        <f t="shared" ref="H6:H37" si="3">G6/Vout</f>
        <v>0.1052557980900409</v>
      </c>
      <c r="I6" s="386">
        <f t="shared" ref="I6:I37" si="4">(Vout+Vfwd1)*Nps+D6</f>
        <v>29.32</v>
      </c>
      <c r="J6" s="152">
        <f t="shared" ref="J6:J37" si="5">MIN(2*Vout*Iout/(Efficiency*D6*F6), 1.35)</f>
        <v>0.71254982016136881</v>
      </c>
      <c r="K6" s="152">
        <f t="shared" ref="K6:K37" si="6">L*J6/D6*1000000</f>
        <v>11.875830336022812</v>
      </c>
      <c r="L6" s="152">
        <f t="shared" ref="L6:L37" si="7">L*J6/((Vout+Vfwd1)*Nps)*1000000</f>
        <v>5.2599642236321511</v>
      </c>
      <c r="M6" s="386">
        <f>MIN(1/(K6+L6)*1000, 350)</f>
        <v>58.357375639553389</v>
      </c>
      <c r="N6" s="175">
        <f t="shared" ref="N6:N37" si="8">IF(1/((350000*L)*(1/D6+1/E6))&gt;Isw_min, 350, 0.001/((Isw_min*L)*(1/D6+1/E6)))</f>
        <v>277.21691678035478</v>
      </c>
      <c r="O6" s="191">
        <f t="shared" ref="O6:O37" si="9">1/((N6*1000*L)*(1/D6+1/E6))</f>
        <v>0.14999999999999997</v>
      </c>
      <c r="P6" s="153">
        <f t="shared" ref="P6:P37" si="10">L*O6/E6*1000000</f>
        <v>1.1072834645669287</v>
      </c>
      <c r="Q6" s="153">
        <f t="shared" ref="Q6:Q37" si="11">0.5*P6*O6*Nps*N6/1000</f>
        <v>2.3021828103683487E-2</v>
      </c>
      <c r="R6" s="153">
        <f t="shared" ref="R6:R37" si="12">L*Isw_min/E6*1000000</f>
        <v>1.1072834645669289</v>
      </c>
    </row>
    <row r="7" spans="3:19" x14ac:dyDescent="0.25">
      <c r="C7" s="150">
        <v>1</v>
      </c>
      <c r="D7" s="5">
        <f t="shared" ref="D7:D38" si="13">C7/100*(VIN_max-VIN_min)+VIN_min</f>
        <v>9.1199999999999992</v>
      </c>
      <c r="E7" s="386">
        <f t="shared" si="0"/>
        <v>20.32</v>
      </c>
      <c r="F7" s="191">
        <f t="shared" si="1"/>
        <v>0.69021739130434789</v>
      </c>
      <c r="G7" s="152">
        <f t="shared" si="2"/>
        <v>2.124489130434783</v>
      </c>
      <c r="H7" s="191">
        <f t="shared" si="3"/>
        <v>0.10622445652173915</v>
      </c>
      <c r="I7" s="386">
        <f t="shared" si="4"/>
        <v>29.439999999999998</v>
      </c>
      <c r="J7" s="152">
        <f t="shared" si="5"/>
        <v>0.70605209436539718</v>
      </c>
      <c r="K7" s="152">
        <f t="shared" si="6"/>
        <v>11.612698920483506</v>
      </c>
      <c r="L7" s="152">
        <f t="shared" si="7"/>
        <v>5.2119987280910216</v>
      </c>
      <c r="M7" s="386">
        <f t="shared" ref="M7:M70" si="14">MIN(1/(K7+L7)*1000, 350)</f>
        <v>59.436432136105871</v>
      </c>
      <c r="N7" s="175">
        <f t="shared" si="8"/>
        <v>279.768115942029</v>
      </c>
      <c r="O7" s="191">
        <f t="shared" si="9"/>
        <v>0.15000000000000002</v>
      </c>
      <c r="P7" s="153">
        <f t="shared" si="10"/>
        <v>1.1072834645669292</v>
      </c>
      <c r="Q7" s="153">
        <f t="shared" si="11"/>
        <v>2.3233695652173921E-2</v>
      </c>
      <c r="R7" s="153">
        <f t="shared" si="12"/>
        <v>1.1072834645669289</v>
      </c>
    </row>
    <row r="8" spans="3:19" x14ac:dyDescent="0.25">
      <c r="C8" s="150">
        <v>2</v>
      </c>
      <c r="D8" s="5">
        <f t="shared" si="13"/>
        <v>9.24</v>
      </c>
      <c r="E8" s="386">
        <f t="shared" si="0"/>
        <v>20.32</v>
      </c>
      <c r="F8" s="191">
        <f t="shared" si="1"/>
        <v>0.68741542625169139</v>
      </c>
      <c r="G8" s="152">
        <f t="shared" si="2"/>
        <v>2.1437050067658996</v>
      </c>
      <c r="H8" s="191">
        <f t="shared" si="3"/>
        <v>0.10718525033829499</v>
      </c>
      <c r="I8" s="386">
        <f t="shared" si="4"/>
        <v>29.560000000000002</v>
      </c>
      <c r="J8" s="152">
        <f t="shared" si="5"/>
        <v>0.69972314066802255</v>
      </c>
      <c r="K8" s="152">
        <f t="shared" si="6"/>
        <v>11.359141893961404</v>
      </c>
      <c r="L8" s="152">
        <f t="shared" si="7"/>
        <v>5.1652790895769369</v>
      </c>
      <c r="M8" s="386">
        <f t="shared" si="14"/>
        <v>60.516492589737446</v>
      </c>
      <c r="N8" s="175">
        <f t="shared" si="8"/>
        <v>282.298601714028</v>
      </c>
      <c r="O8" s="191">
        <f t="shared" si="9"/>
        <v>0.15000000000000002</v>
      </c>
      <c r="P8" s="153">
        <f t="shared" si="10"/>
        <v>1.1072834645669292</v>
      </c>
      <c r="Q8" s="153">
        <f t="shared" si="11"/>
        <v>2.3443843031123148E-2</v>
      </c>
      <c r="R8" s="153">
        <f t="shared" si="12"/>
        <v>1.1072834645669289</v>
      </c>
    </row>
    <row r="9" spans="3:19" x14ac:dyDescent="0.25">
      <c r="C9" s="150">
        <v>3</v>
      </c>
      <c r="D9" s="5">
        <f t="shared" si="13"/>
        <v>9.36</v>
      </c>
      <c r="E9" s="386">
        <f t="shared" si="0"/>
        <v>20.32</v>
      </c>
      <c r="F9" s="191">
        <f t="shared" si="1"/>
        <v>0.6846361185983828</v>
      </c>
      <c r="G9" s="152">
        <f t="shared" si="2"/>
        <v>2.1627654986522913</v>
      </c>
      <c r="H9" s="191">
        <f t="shared" si="3"/>
        <v>0.10813827493261456</v>
      </c>
      <c r="I9" s="386">
        <f t="shared" si="4"/>
        <v>29.68</v>
      </c>
      <c r="J9" s="152">
        <f t="shared" si="5"/>
        <v>0.69355646783468305</v>
      </c>
      <c r="K9" s="152">
        <f t="shared" si="6"/>
        <v>11.114686984530179</v>
      </c>
      <c r="L9" s="152">
        <f t="shared" si="7"/>
        <v>5.119757390511932</v>
      </c>
      <c r="M9" s="386">
        <f t="shared" si="14"/>
        <v>61.597426859729296</v>
      </c>
      <c r="N9" s="175">
        <f t="shared" si="8"/>
        <v>284.80862533692721</v>
      </c>
      <c r="O9" s="191">
        <f t="shared" si="9"/>
        <v>0.15000000000000002</v>
      </c>
      <c r="P9" s="153">
        <f t="shared" si="10"/>
        <v>1.1072834645669292</v>
      </c>
      <c r="Q9" s="153">
        <f t="shared" si="11"/>
        <v>2.3652291105121296E-2</v>
      </c>
      <c r="R9" s="153">
        <f t="shared" si="12"/>
        <v>1.1072834645669289</v>
      </c>
    </row>
    <row r="10" spans="3:19" x14ac:dyDescent="0.25">
      <c r="C10" s="150">
        <v>4</v>
      </c>
      <c r="D10" s="5">
        <f t="shared" si="13"/>
        <v>9.48</v>
      </c>
      <c r="E10" s="386">
        <f t="shared" si="0"/>
        <v>20.32</v>
      </c>
      <c r="F10" s="191">
        <f t="shared" si="1"/>
        <v>0.68187919463087243</v>
      </c>
      <c r="G10" s="152">
        <f t="shared" si="2"/>
        <v>2.1816724832214764</v>
      </c>
      <c r="H10" s="191">
        <f t="shared" si="3"/>
        <v>0.10908362416107382</v>
      </c>
      <c r="I10" s="386">
        <f t="shared" si="4"/>
        <v>29.8</v>
      </c>
      <c r="J10" s="152">
        <f t="shared" si="5"/>
        <v>0.68754591330092174</v>
      </c>
      <c r="K10" s="152">
        <f t="shared" si="6"/>
        <v>10.878891033242432</v>
      </c>
      <c r="L10" s="152">
        <f t="shared" si="7"/>
        <v>5.0753881395245202</v>
      </c>
      <c r="M10" s="386">
        <f t="shared" si="14"/>
        <v>62.67910879401829</v>
      </c>
      <c r="N10" s="175">
        <f t="shared" si="8"/>
        <v>287.29843400447436</v>
      </c>
      <c r="O10" s="191">
        <f t="shared" si="9"/>
        <v>0.14999999999999997</v>
      </c>
      <c r="P10" s="153">
        <f t="shared" si="10"/>
        <v>1.1072834645669287</v>
      </c>
      <c r="Q10" s="153">
        <f t="shared" si="11"/>
        <v>2.3859060402684554E-2</v>
      </c>
      <c r="R10" s="153">
        <f t="shared" si="12"/>
        <v>1.1072834645669289</v>
      </c>
    </row>
    <row r="11" spans="3:19" x14ac:dyDescent="0.25">
      <c r="C11" s="150">
        <v>5</v>
      </c>
      <c r="D11" s="5">
        <f t="shared" si="13"/>
        <v>9.6</v>
      </c>
      <c r="E11" s="386">
        <f t="shared" si="0"/>
        <v>20.32</v>
      </c>
      <c r="F11" s="191">
        <f t="shared" si="1"/>
        <v>0.67914438502673791</v>
      </c>
      <c r="G11" s="152">
        <f t="shared" si="2"/>
        <v>2.2004278074866308</v>
      </c>
      <c r="H11" s="191">
        <f t="shared" si="3"/>
        <v>0.11002139037433153</v>
      </c>
      <c r="I11" s="386">
        <f t="shared" si="4"/>
        <v>29.92</v>
      </c>
      <c r="J11" s="152">
        <f t="shared" si="5"/>
        <v>0.68168562263050458</v>
      </c>
      <c r="K11" s="152">
        <f t="shared" si="6"/>
        <v>10.651337853601634</v>
      </c>
      <c r="L11" s="152">
        <f t="shared" si="7"/>
        <v>5.0321281198117953</v>
      </c>
      <c r="M11" s="386">
        <f t="shared" si="14"/>
        <v>63.761416111412963</v>
      </c>
      <c r="N11" s="175">
        <f t="shared" si="8"/>
        <v>289.76827094474163</v>
      </c>
      <c r="O11" s="191">
        <f t="shared" si="9"/>
        <v>0.14999999999999997</v>
      </c>
      <c r="P11" s="153">
        <f t="shared" si="10"/>
        <v>1.1072834645669287</v>
      </c>
      <c r="Q11" s="153">
        <f t="shared" si="11"/>
        <v>2.4064171122994648E-2</v>
      </c>
      <c r="R11" s="153">
        <f t="shared" si="12"/>
        <v>1.1072834645669289</v>
      </c>
    </row>
    <row r="12" spans="3:19" x14ac:dyDescent="0.25">
      <c r="C12" s="150">
        <v>6</v>
      </c>
      <c r="D12" s="5">
        <f t="shared" si="13"/>
        <v>9.7200000000000006</v>
      </c>
      <c r="E12" s="386">
        <f t="shared" si="0"/>
        <v>20.32</v>
      </c>
      <c r="F12" s="191">
        <f t="shared" si="1"/>
        <v>0.67643142476697737</v>
      </c>
      <c r="G12" s="152">
        <f t="shared" si="2"/>
        <v>2.2190332889480695</v>
      </c>
      <c r="H12" s="191">
        <f t="shared" si="3"/>
        <v>0.11095166444740348</v>
      </c>
      <c r="I12" s="386">
        <f t="shared" si="4"/>
        <v>30.04</v>
      </c>
      <c r="J12" s="152">
        <f t="shared" si="5"/>
        <v>0.67597003049515925</v>
      </c>
      <c r="K12" s="152">
        <f t="shared" si="6"/>
        <v>10.431636273073444</v>
      </c>
      <c r="L12" s="152">
        <f t="shared" si="7"/>
        <v>4.9899362487339509</v>
      </c>
      <c r="M12" s="386">
        <f t="shared" si="14"/>
        <v>64.844230287534955</v>
      </c>
      <c r="N12" s="175">
        <f t="shared" si="8"/>
        <v>292.21837549933423</v>
      </c>
      <c r="O12" s="191">
        <f t="shared" si="9"/>
        <v>0.15000000000000002</v>
      </c>
      <c r="P12" s="153">
        <f t="shared" si="10"/>
        <v>1.1072834645669292</v>
      </c>
      <c r="Q12" s="153">
        <f t="shared" si="11"/>
        <v>2.4267643142476703E-2</v>
      </c>
      <c r="R12" s="153">
        <f t="shared" si="12"/>
        <v>1.1072834645669289</v>
      </c>
    </row>
    <row r="13" spans="3:19" x14ac:dyDescent="0.25">
      <c r="C13" s="150">
        <v>7</v>
      </c>
      <c r="D13" s="5">
        <f t="shared" si="13"/>
        <v>9.84</v>
      </c>
      <c r="E13" s="386">
        <f t="shared" si="0"/>
        <v>20.32</v>
      </c>
      <c r="F13" s="191">
        <f t="shared" si="1"/>
        <v>0.67374005305039786</v>
      </c>
      <c r="G13" s="152">
        <f t="shared" si="2"/>
        <v>2.2374907161803717</v>
      </c>
      <c r="H13" s="191">
        <f t="shared" si="3"/>
        <v>0.11187453580901859</v>
      </c>
      <c r="I13" s="386">
        <f t="shared" si="4"/>
        <v>30.16</v>
      </c>
      <c r="J13" s="152">
        <f t="shared" si="5"/>
        <v>0.67039384304604199</v>
      </c>
      <c r="K13" s="152">
        <f t="shared" si="6"/>
        <v>10.219418339116492</v>
      </c>
      <c r="L13" s="152">
        <f t="shared" si="7"/>
        <v>4.9487734476823961</v>
      </c>
      <c r="M13" s="386">
        <f t="shared" si="14"/>
        <v>65.927436444356886</v>
      </c>
      <c r="N13" s="175">
        <f t="shared" si="8"/>
        <v>294.64898320070739</v>
      </c>
      <c r="O13" s="191">
        <f t="shared" si="9"/>
        <v>0.14999999999999997</v>
      </c>
      <c r="P13" s="153">
        <f t="shared" si="10"/>
        <v>1.1072834645669287</v>
      </c>
      <c r="Q13" s="153">
        <f t="shared" si="11"/>
        <v>2.4469496021220147E-2</v>
      </c>
      <c r="R13" s="153">
        <f t="shared" si="12"/>
        <v>1.1072834645669289</v>
      </c>
    </row>
    <row r="14" spans="3:19" s="59" customFormat="1" x14ac:dyDescent="0.25">
      <c r="C14" s="150">
        <v>8</v>
      </c>
      <c r="D14" s="170">
        <f t="shared" si="13"/>
        <v>9.9600000000000009</v>
      </c>
      <c r="E14" s="386">
        <f t="shared" si="0"/>
        <v>20.32</v>
      </c>
      <c r="F14" s="191">
        <f t="shared" si="1"/>
        <v>0.67107001321003956</v>
      </c>
      <c r="G14" s="152">
        <f t="shared" si="2"/>
        <v>2.2558018494055485</v>
      </c>
      <c r="H14" s="191">
        <f t="shared" si="3"/>
        <v>0.11279009247027742</v>
      </c>
      <c r="I14" s="386">
        <f t="shared" si="4"/>
        <v>30.28</v>
      </c>
      <c r="J14" s="152">
        <f t="shared" si="5"/>
        <v>0.66495202155955413</v>
      </c>
      <c r="K14" s="152">
        <f t="shared" si="6"/>
        <v>10.014337674089669</v>
      </c>
      <c r="L14" s="152">
        <f t="shared" si="7"/>
        <v>4.9086025213549753</v>
      </c>
      <c r="M14" s="386">
        <f t="shared" si="14"/>
        <v>67.010923243213057</v>
      </c>
      <c r="N14" s="175">
        <f t="shared" si="8"/>
        <v>297.06032584764421</v>
      </c>
      <c r="O14" s="191">
        <f t="shared" si="9"/>
        <v>0.15000000000000002</v>
      </c>
      <c r="P14" s="153">
        <f t="shared" si="10"/>
        <v>1.1072834645669292</v>
      </c>
      <c r="Q14" s="469">
        <f t="shared" si="11"/>
        <v>2.4669749009247035E-2</v>
      </c>
      <c r="R14" s="153">
        <f t="shared" si="12"/>
        <v>1.1072834645669289</v>
      </c>
    </row>
    <row r="15" spans="3:19" x14ac:dyDescent="0.25">
      <c r="C15" s="150">
        <v>9</v>
      </c>
      <c r="D15" s="5">
        <f t="shared" si="13"/>
        <v>10.08</v>
      </c>
      <c r="E15" s="386">
        <f t="shared" si="0"/>
        <v>20.32</v>
      </c>
      <c r="F15" s="191">
        <f t="shared" si="1"/>
        <v>0.66842105263157903</v>
      </c>
      <c r="G15" s="152">
        <f t="shared" si="2"/>
        <v>2.2739684210526319</v>
      </c>
      <c r="H15" s="191">
        <f t="shared" si="3"/>
        <v>0.11369842105263159</v>
      </c>
      <c r="I15" s="386">
        <f t="shared" si="4"/>
        <v>30.4</v>
      </c>
      <c r="J15" s="152">
        <f t="shared" si="5"/>
        <v>0.65963976725131568</v>
      </c>
      <c r="K15" s="152">
        <f t="shared" si="6"/>
        <v>9.8160679650493403</v>
      </c>
      <c r="L15" s="152">
        <f t="shared" si="7"/>
        <v>4.8693880456543974</v>
      </c>
      <c r="M15" s="386">
        <f t="shared" si="14"/>
        <v>68.094582781163439</v>
      </c>
      <c r="N15" s="175">
        <f t="shared" si="8"/>
        <v>299.45263157894743</v>
      </c>
      <c r="O15" s="191">
        <f t="shared" si="9"/>
        <v>0.15</v>
      </c>
      <c r="P15" s="153">
        <f t="shared" si="10"/>
        <v>1.1072834645669289</v>
      </c>
      <c r="Q15" s="153">
        <f t="shared" si="11"/>
        <v>2.4868421052631578E-2</v>
      </c>
      <c r="R15" s="153">
        <f t="shared" si="12"/>
        <v>1.1072834645669289</v>
      </c>
    </row>
    <row r="16" spans="3:19" x14ac:dyDescent="0.25">
      <c r="C16" s="150">
        <v>10</v>
      </c>
      <c r="D16" s="5">
        <f t="shared" si="13"/>
        <v>10.199999999999999</v>
      </c>
      <c r="E16" s="386">
        <f t="shared" si="0"/>
        <v>20.32</v>
      </c>
      <c r="F16" s="191">
        <f t="shared" si="1"/>
        <v>0.66579292267365664</v>
      </c>
      <c r="G16" s="152">
        <f t="shared" si="2"/>
        <v>2.2919921363040632</v>
      </c>
      <c r="H16" s="191">
        <f t="shared" si="3"/>
        <v>0.11459960681520316</v>
      </c>
      <c r="I16" s="386">
        <f t="shared" si="4"/>
        <v>30.52</v>
      </c>
      <c r="J16" s="152">
        <f t="shared" si="5"/>
        <v>0.65445250716209491</v>
      </c>
      <c r="K16" s="152">
        <f t="shared" si="6"/>
        <v>9.6243015759131598</v>
      </c>
      <c r="L16" s="152">
        <f t="shared" si="7"/>
        <v>4.8310962634997159</v>
      </c>
      <c r="M16" s="386">
        <f t="shared" si="14"/>
        <v>69.178310490596388</v>
      </c>
      <c r="N16" s="175">
        <f t="shared" si="8"/>
        <v>301.82612494539103</v>
      </c>
      <c r="O16" s="191">
        <f t="shared" si="9"/>
        <v>0.15</v>
      </c>
      <c r="P16" s="153">
        <f t="shared" si="10"/>
        <v>1.1072834645669289</v>
      </c>
      <c r="Q16" s="153">
        <f t="shared" si="11"/>
        <v>2.5065530799475749E-2</v>
      </c>
      <c r="R16" s="153">
        <f t="shared" si="12"/>
        <v>1.1072834645669289</v>
      </c>
    </row>
    <row r="17" spans="3:18" x14ac:dyDescent="0.25">
      <c r="C17" s="150">
        <v>11</v>
      </c>
      <c r="D17" s="5">
        <f t="shared" si="13"/>
        <v>10.32</v>
      </c>
      <c r="E17" s="386">
        <f t="shared" si="0"/>
        <v>20.32</v>
      </c>
      <c r="F17" s="191">
        <f t="shared" si="1"/>
        <v>0.66318537859007831</v>
      </c>
      <c r="G17" s="152">
        <f t="shared" si="2"/>
        <v>2.3098746736292428</v>
      </c>
      <c r="H17" s="191">
        <f t="shared" si="3"/>
        <v>0.11549373368146214</v>
      </c>
      <c r="I17" s="386">
        <f t="shared" si="4"/>
        <v>30.64</v>
      </c>
      <c r="J17" s="152">
        <f t="shared" si="5"/>
        <v>0.64938588102843731</v>
      </c>
      <c r="K17" s="152">
        <f t="shared" si="6"/>
        <v>9.4387482707621686</v>
      </c>
      <c r="L17" s="152">
        <f t="shared" si="7"/>
        <v>4.793694987906771</v>
      </c>
      <c r="M17" s="386">
        <f t="shared" si="14"/>
        <v>70.26200504195954</v>
      </c>
      <c r="N17" s="175">
        <f t="shared" si="8"/>
        <v>304.18102697998268</v>
      </c>
      <c r="O17" s="191">
        <f t="shared" si="9"/>
        <v>0.15</v>
      </c>
      <c r="P17" s="153">
        <f t="shared" si="10"/>
        <v>1.1072834645669289</v>
      </c>
      <c r="Q17" s="153">
        <f t="shared" si="11"/>
        <v>2.5261096605744125E-2</v>
      </c>
      <c r="R17" s="153">
        <f t="shared" si="12"/>
        <v>1.1072834645669289</v>
      </c>
    </row>
    <row r="18" spans="3:18" x14ac:dyDescent="0.25">
      <c r="C18" s="150">
        <v>12</v>
      </c>
      <c r="D18" s="5">
        <f t="shared" si="13"/>
        <v>10.44</v>
      </c>
      <c r="E18" s="386">
        <f t="shared" si="0"/>
        <v>20.32</v>
      </c>
      <c r="F18" s="191">
        <f t="shared" si="1"/>
        <v>0.66059817945383625</v>
      </c>
      <c r="G18" s="152">
        <f t="shared" si="2"/>
        <v>2.3276176853055919</v>
      </c>
      <c r="H18" s="191">
        <f t="shared" si="3"/>
        <v>0.11638088426527959</v>
      </c>
      <c r="I18" s="386">
        <f t="shared" si="4"/>
        <v>30.759999999999998</v>
      </c>
      <c r="J18" s="152">
        <f t="shared" si="5"/>
        <v>0.64443572905877189</v>
      </c>
      <c r="K18" s="152">
        <f t="shared" si="6"/>
        <v>9.2591340382007434</v>
      </c>
      <c r="L18" s="152">
        <f t="shared" si="7"/>
        <v>4.7571535117527448</v>
      </c>
      <c r="M18" s="386">
        <f t="shared" si="14"/>
        <v>71.345568249512581</v>
      </c>
      <c r="N18" s="175">
        <f t="shared" si="8"/>
        <v>306.51755526658002</v>
      </c>
      <c r="O18" s="191">
        <f t="shared" si="9"/>
        <v>0.15</v>
      </c>
      <c r="P18" s="153">
        <f t="shared" si="10"/>
        <v>1.1072834645669289</v>
      </c>
      <c r="Q18" s="153">
        <f t="shared" si="11"/>
        <v>2.5455136540962285E-2</v>
      </c>
      <c r="R18" s="153">
        <f t="shared" si="12"/>
        <v>1.1072834645669289</v>
      </c>
    </row>
    <row r="19" spans="3:18" x14ac:dyDescent="0.25">
      <c r="C19" s="150">
        <v>13</v>
      </c>
      <c r="D19" s="5">
        <f t="shared" si="13"/>
        <v>10.56</v>
      </c>
      <c r="E19" s="386">
        <f t="shared" si="0"/>
        <v>20.32</v>
      </c>
      <c r="F19" s="191">
        <f t="shared" si="1"/>
        <v>0.65803108808290156</v>
      </c>
      <c r="G19" s="152">
        <f t="shared" si="2"/>
        <v>2.3452227979274611</v>
      </c>
      <c r="H19" s="191">
        <f t="shared" si="3"/>
        <v>0.11726113989637306</v>
      </c>
      <c r="I19" s="386">
        <f t="shared" si="4"/>
        <v>30.880000000000003</v>
      </c>
      <c r="J19" s="152">
        <f t="shared" si="5"/>
        <v>0.63959808054296241</v>
      </c>
      <c r="K19" s="152">
        <f t="shared" si="6"/>
        <v>9.0852000077125314</v>
      </c>
      <c r="L19" s="152">
        <f t="shared" si="7"/>
        <v>4.7214425236931277</v>
      </c>
      <c r="M19" s="386">
        <f t="shared" si="14"/>
        <v>72.428904979999487</v>
      </c>
      <c r="N19" s="175">
        <f t="shared" si="8"/>
        <v>308.8359240069085</v>
      </c>
      <c r="O19" s="191">
        <f t="shared" si="9"/>
        <v>0.15000000000000002</v>
      </c>
      <c r="P19" s="153">
        <f t="shared" si="10"/>
        <v>1.1072834645669292</v>
      </c>
      <c r="Q19" s="153">
        <f t="shared" si="11"/>
        <v>2.5647668393782394E-2</v>
      </c>
      <c r="R19" s="153">
        <f t="shared" si="12"/>
        <v>1.1072834645669289</v>
      </c>
    </row>
    <row r="20" spans="3:18" x14ac:dyDescent="0.25">
      <c r="C20" s="150">
        <v>14</v>
      </c>
      <c r="D20" s="5">
        <f t="shared" si="13"/>
        <v>10.68</v>
      </c>
      <c r="E20" s="386">
        <f t="shared" si="0"/>
        <v>20.32</v>
      </c>
      <c r="F20" s="191">
        <f t="shared" si="1"/>
        <v>0.65548387096774197</v>
      </c>
      <c r="G20" s="152">
        <f t="shared" si="2"/>
        <v>2.3626916129032258</v>
      </c>
      <c r="H20" s="191">
        <f t="shared" si="3"/>
        <v>0.11813458064516129</v>
      </c>
      <c r="I20" s="386">
        <f t="shared" si="4"/>
        <v>31</v>
      </c>
      <c r="J20" s="152">
        <f t="shared" si="5"/>
        <v>0.63486914322975541</v>
      </c>
      <c r="K20" s="152">
        <f t="shared" si="6"/>
        <v>8.9167014498561148</v>
      </c>
      <c r="L20" s="152">
        <f t="shared" si="7"/>
        <v>4.68653402974721</v>
      </c>
      <c r="M20" s="386">
        <f t="shared" si="14"/>
        <v>73.511923064141527</v>
      </c>
      <c r="N20" s="175">
        <f t="shared" si="8"/>
        <v>311.13634408602155</v>
      </c>
      <c r="O20" s="191">
        <f t="shared" si="9"/>
        <v>0.15</v>
      </c>
      <c r="P20" s="153">
        <f t="shared" si="10"/>
        <v>1.1072834645669289</v>
      </c>
      <c r="Q20" s="153">
        <f t="shared" si="11"/>
        <v>2.5838709677419351E-2</v>
      </c>
      <c r="R20" s="153">
        <f t="shared" si="12"/>
        <v>1.1072834645669289</v>
      </c>
    </row>
    <row r="21" spans="3:18" x14ac:dyDescent="0.25">
      <c r="C21" s="150">
        <v>15</v>
      </c>
      <c r="D21" s="5">
        <f t="shared" si="13"/>
        <v>10.8</v>
      </c>
      <c r="E21" s="386">
        <f t="shared" si="0"/>
        <v>20.32</v>
      </c>
      <c r="F21" s="191">
        <f t="shared" si="1"/>
        <v>0.65295629820051415</v>
      </c>
      <c r="G21" s="152">
        <f t="shared" si="2"/>
        <v>2.3800257069408741</v>
      </c>
      <c r="H21" s="191">
        <f t="shared" si="3"/>
        <v>0.11900128534704371</v>
      </c>
      <c r="I21" s="386">
        <f t="shared" si="4"/>
        <v>31.12</v>
      </c>
      <c r="J21" s="152">
        <f t="shared" si="5"/>
        <v>0.63024529341239743</v>
      </c>
      <c r="K21" s="152">
        <f t="shared" si="6"/>
        <v>8.7534068529499631</v>
      </c>
      <c r="L21" s="152">
        <f t="shared" si="7"/>
        <v>4.6524012801112011</v>
      </c>
      <c r="M21" s="386">
        <f t="shared" si="14"/>
        <v>74.594533210856412</v>
      </c>
      <c r="N21" s="175">
        <f t="shared" si="8"/>
        <v>313.41902313624684</v>
      </c>
      <c r="O21" s="191">
        <f t="shared" si="9"/>
        <v>0.15</v>
      </c>
      <c r="P21" s="153">
        <f t="shared" si="10"/>
        <v>1.1072834645669289</v>
      </c>
      <c r="Q21" s="153">
        <f t="shared" si="11"/>
        <v>2.6028277634961437E-2</v>
      </c>
      <c r="R21" s="153">
        <f t="shared" si="12"/>
        <v>1.1072834645669289</v>
      </c>
    </row>
    <row r="22" spans="3:18" s="3" customFormat="1" x14ac:dyDescent="0.25">
      <c r="C22" s="238">
        <v>16</v>
      </c>
      <c r="D22" s="465">
        <f t="shared" si="13"/>
        <v>10.92</v>
      </c>
      <c r="E22" s="466">
        <f t="shared" si="0"/>
        <v>20.32</v>
      </c>
      <c r="F22" s="467">
        <f t="shared" si="1"/>
        <v>0.65044814340588986</v>
      </c>
      <c r="G22" s="289">
        <f t="shared" si="2"/>
        <v>2.3972266325224072</v>
      </c>
      <c r="H22" s="467">
        <f t="shared" si="3"/>
        <v>0.11986133162612037</v>
      </c>
      <c r="I22" s="466">
        <f t="shared" si="4"/>
        <v>31.240000000000002</v>
      </c>
      <c r="J22" s="152">
        <f t="shared" si="5"/>
        <v>0.62572306666794864</v>
      </c>
      <c r="K22" s="289">
        <f t="shared" si="6"/>
        <v>8.5950970696146793</v>
      </c>
      <c r="L22" s="289">
        <f t="shared" si="7"/>
        <v>4.6190187007968637</v>
      </c>
      <c r="M22" s="466">
        <f t="shared" si="14"/>
        <v>75.676648924111532</v>
      </c>
      <c r="N22" s="291">
        <f t="shared" si="8"/>
        <v>315.68416559965863</v>
      </c>
      <c r="O22" s="467">
        <f t="shared" si="9"/>
        <v>0.15000000000000002</v>
      </c>
      <c r="P22" s="153">
        <f t="shared" si="10"/>
        <v>1.1072834645669292</v>
      </c>
      <c r="Q22" s="470">
        <f t="shared" si="11"/>
        <v>2.6216389244558273E-2</v>
      </c>
      <c r="R22" s="153">
        <f t="shared" si="12"/>
        <v>1.1072834645669289</v>
      </c>
    </row>
    <row r="23" spans="3:18" x14ac:dyDescent="0.25">
      <c r="C23" s="150">
        <v>17</v>
      </c>
      <c r="D23" s="5">
        <f t="shared" si="13"/>
        <v>11.04</v>
      </c>
      <c r="E23" s="386">
        <f t="shared" si="0"/>
        <v>20.32</v>
      </c>
      <c r="F23" s="191">
        <f t="shared" si="1"/>
        <v>0.64795918367346939</v>
      </c>
      <c r="G23" s="152">
        <f t="shared" si="2"/>
        <v>2.4142959183673467</v>
      </c>
      <c r="H23" s="191">
        <f t="shared" si="3"/>
        <v>0.12071479591836734</v>
      </c>
      <c r="I23" s="386">
        <f t="shared" si="4"/>
        <v>31.36</v>
      </c>
      <c r="J23" s="152">
        <f t="shared" si="5"/>
        <v>0.62129914920055285</v>
      </c>
      <c r="K23" s="152">
        <f t="shared" si="6"/>
        <v>8.4415645271814252</v>
      </c>
      <c r="L23" s="152">
        <f t="shared" si="7"/>
        <v>4.5863618297284896</v>
      </c>
      <c r="M23" s="386">
        <f t="shared" si="14"/>
        <v>76.75818642232403</v>
      </c>
      <c r="N23" s="175">
        <f t="shared" si="8"/>
        <v>317.93197278911566</v>
      </c>
      <c r="O23" s="191">
        <f t="shared" si="9"/>
        <v>0.15</v>
      </c>
      <c r="P23" s="153">
        <f t="shared" si="10"/>
        <v>1.1072834645669289</v>
      </c>
      <c r="Q23" s="153">
        <f t="shared" si="11"/>
        <v>2.640306122448979E-2</v>
      </c>
      <c r="R23" s="153">
        <f t="shared" si="12"/>
        <v>1.1072834645669289</v>
      </c>
    </row>
    <row r="24" spans="3:18" x14ac:dyDescent="0.25">
      <c r="C24" s="150">
        <v>18</v>
      </c>
      <c r="D24" s="5">
        <f t="shared" si="13"/>
        <v>11.16</v>
      </c>
      <c r="E24" s="386">
        <f t="shared" si="0"/>
        <v>20.32</v>
      </c>
      <c r="F24" s="191">
        <f t="shared" si="1"/>
        <v>0.64548919949174077</v>
      </c>
      <c r="G24" s="152">
        <f t="shared" si="2"/>
        <v>2.4312350698856418</v>
      </c>
      <c r="H24" s="191">
        <f t="shared" si="3"/>
        <v>0.12156175349428208</v>
      </c>
      <c r="I24" s="386">
        <f t="shared" si="4"/>
        <v>31.48</v>
      </c>
      <c r="J24" s="152">
        <f t="shared" si="5"/>
        <v>0.61697036974320862</v>
      </c>
      <c r="K24" s="152">
        <f t="shared" si="6"/>
        <v>8.292612496548502</v>
      </c>
      <c r="L24" s="152">
        <f t="shared" si="7"/>
        <v>4.5544072569626612</v>
      </c>
      <c r="M24" s="386">
        <f t="shared" si="14"/>
        <v>77.839064560221786</v>
      </c>
      <c r="N24" s="175">
        <f t="shared" si="8"/>
        <v>320.16264294790352</v>
      </c>
      <c r="O24" s="191">
        <f t="shared" si="9"/>
        <v>0.14999999999999997</v>
      </c>
      <c r="P24" s="153">
        <f t="shared" si="10"/>
        <v>1.1072834645669287</v>
      </c>
      <c r="Q24" s="153">
        <f t="shared" si="11"/>
        <v>2.6588310038119432E-2</v>
      </c>
      <c r="R24" s="153">
        <f t="shared" si="12"/>
        <v>1.1072834645669289</v>
      </c>
    </row>
    <row r="25" spans="3:18" x14ac:dyDescent="0.25">
      <c r="C25" s="150">
        <v>19</v>
      </c>
      <c r="D25" s="5">
        <f t="shared" si="13"/>
        <v>11.280000000000001</v>
      </c>
      <c r="E25" s="386">
        <f t="shared" si="0"/>
        <v>20.32</v>
      </c>
      <c r="F25" s="191">
        <f t="shared" si="1"/>
        <v>0.64303797468354429</v>
      </c>
      <c r="G25" s="152">
        <f t="shared" si="2"/>
        <v>2.4480455696202532</v>
      </c>
      <c r="H25" s="191">
        <f t="shared" si="3"/>
        <v>0.12240227848101266</v>
      </c>
      <c r="I25" s="386">
        <f t="shared" si="4"/>
        <v>31.6</v>
      </c>
      <c r="J25" s="152">
        <f t="shared" si="5"/>
        <v>0.61273369197644612</v>
      </c>
      <c r="K25" s="152">
        <f t="shared" si="6"/>
        <v>8.1480544145803986</v>
      </c>
      <c r="L25" s="152">
        <f t="shared" si="7"/>
        <v>4.5231325687237653</v>
      </c>
      <c r="M25" s="386">
        <f t="shared" si="14"/>
        <v>78.919204753084458</v>
      </c>
      <c r="N25" s="175">
        <f t="shared" si="8"/>
        <v>322.37637130801693</v>
      </c>
      <c r="O25" s="191">
        <f t="shared" si="9"/>
        <v>0.15</v>
      </c>
      <c r="P25" s="153">
        <f t="shared" si="10"/>
        <v>1.1072834645669289</v>
      </c>
      <c r="Q25" s="153">
        <f t="shared" si="11"/>
        <v>2.6772151898734171E-2</v>
      </c>
      <c r="R25" s="153">
        <f t="shared" si="12"/>
        <v>1.1072834645669289</v>
      </c>
    </row>
    <row r="26" spans="3:18" x14ac:dyDescent="0.25">
      <c r="C26" s="150">
        <v>20</v>
      </c>
      <c r="D26" s="5">
        <f t="shared" si="13"/>
        <v>11.4</v>
      </c>
      <c r="E26" s="386">
        <f t="shared" si="0"/>
        <v>20.32</v>
      </c>
      <c r="F26" s="191">
        <f t="shared" si="1"/>
        <v>0.64060529634300134</v>
      </c>
      <c r="G26" s="152">
        <f t="shared" si="2"/>
        <v>2.4647288776796978</v>
      </c>
      <c r="H26" s="191">
        <f t="shared" si="3"/>
        <v>0.12323644388398489</v>
      </c>
      <c r="I26" s="386">
        <f t="shared" si="4"/>
        <v>31.72</v>
      </c>
      <c r="J26" s="152">
        <f t="shared" si="5"/>
        <v>0.60858620742582614</v>
      </c>
      <c r="K26" s="152">
        <f t="shared" si="6"/>
        <v>8.0077132556029742</v>
      </c>
      <c r="L26" s="152">
        <f t="shared" si="7"/>
        <v>4.4925162949741093</v>
      </c>
      <c r="M26" s="386">
        <f t="shared" si="14"/>
        <v>79.998530903285229</v>
      </c>
      <c r="N26" s="175">
        <f t="shared" si="8"/>
        <v>324.57335014712072</v>
      </c>
      <c r="O26" s="191">
        <f t="shared" si="9"/>
        <v>0.15</v>
      </c>
      <c r="P26" s="153">
        <f t="shared" si="10"/>
        <v>1.1072834645669289</v>
      </c>
      <c r="Q26" s="153">
        <f t="shared" si="11"/>
        <v>2.6954602774274902E-2</v>
      </c>
      <c r="R26" s="153">
        <f t="shared" si="12"/>
        <v>1.1072834645669289</v>
      </c>
    </row>
    <row r="27" spans="3:18" x14ac:dyDescent="0.25">
      <c r="C27" s="150">
        <v>21</v>
      </c>
      <c r="D27" s="5">
        <f t="shared" si="13"/>
        <v>11.52</v>
      </c>
      <c r="E27" s="386">
        <f t="shared" si="0"/>
        <v>20.32</v>
      </c>
      <c r="F27" s="191">
        <f t="shared" si="1"/>
        <v>0.63819095477386933</v>
      </c>
      <c r="G27" s="152">
        <f t="shared" si="2"/>
        <v>2.4812864321608035</v>
      </c>
      <c r="H27" s="191">
        <f t="shared" si="3"/>
        <v>0.12406432160804018</v>
      </c>
      <c r="I27" s="386">
        <f t="shared" si="4"/>
        <v>31.84</v>
      </c>
      <c r="J27" s="152">
        <f t="shared" si="5"/>
        <v>0.60452512880334408</v>
      </c>
      <c r="K27" s="152">
        <f t="shared" si="6"/>
        <v>7.8714209479602095</v>
      </c>
      <c r="L27" s="152">
        <f t="shared" si="7"/>
        <v>4.4625378602609054</v>
      </c>
      <c r="M27" s="386">
        <f t="shared" si="14"/>
        <v>81.076969329057334</v>
      </c>
      <c r="N27" s="175">
        <f t="shared" si="8"/>
        <v>326.75376884422116</v>
      </c>
      <c r="O27" s="191">
        <f t="shared" si="9"/>
        <v>0.15</v>
      </c>
      <c r="P27" s="153">
        <f t="shared" si="10"/>
        <v>1.1072834645669289</v>
      </c>
      <c r="Q27" s="153">
        <f t="shared" si="11"/>
        <v>2.7135678391959798E-2</v>
      </c>
      <c r="R27" s="153">
        <f t="shared" si="12"/>
        <v>1.1072834645669289</v>
      </c>
    </row>
    <row r="28" spans="3:18" x14ac:dyDescent="0.25">
      <c r="C28" s="150">
        <v>22</v>
      </c>
      <c r="D28" s="5">
        <f t="shared" si="13"/>
        <v>11.64</v>
      </c>
      <c r="E28" s="386">
        <f t="shared" si="0"/>
        <v>20.32</v>
      </c>
      <c r="F28" s="191">
        <f t="shared" si="1"/>
        <v>0.63579474342928655</v>
      </c>
      <c r="G28" s="152">
        <f t="shared" si="2"/>
        <v>2.4977196495619522</v>
      </c>
      <c r="H28" s="191">
        <f t="shared" si="3"/>
        <v>0.12488598247809761</v>
      </c>
      <c r="I28" s="386">
        <f t="shared" si="4"/>
        <v>31.96</v>
      </c>
      <c r="J28" s="152">
        <f t="shared" si="5"/>
        <v>0.60054778376070694</v>
      </c>
      <c r="K28" s="152">
        <f t="shared" si="6"/>
        <v>7.7390178319678711</v>
      </c>
      <c r="L28" s="152">
        <f t="shared" si="7"/>
        <v>4.4331775376036431</v>
      </c>
      <c r="M28" s="386">
        <f t="shared" si="14"/>
        <v>82.154448695412455</v>
      </c>
      <c r="N28" s="175">
        <f t="shared" si="8"/>
        <v>328.91781393408434</v>
      </c>
      <c r="O28" s="191">
        <f t="shared" si="9"/>
        <v>0.15000000000000002</v>
      </c>
      <c r="P28" s="153">
        <f t="shared" si="10"/>
        <v>1.1072834645669292</v>
      </c>
      <c r="Q28" s="153">
        <f t="shared" si="11"/>
        <v>2.7315394242803517E-2</v>
      </c>
      <c r="R28" s="153">
        <f t="shared" si="12"/>
        <v>1.1072834645669289</v>
      </c>
    </row>
    <row r="29" spans="3:18" x14ac:dyDescent="0.25">
      <c r="C29" s="150">
        <v>23</v>
      </c>
      <c r="D29" s="5">
        <f t="shared" si="13"/>
        <v>11.76</v>
      </c>
      <c r="E29" s="386">
        <f t="shared" si="0"/>
        <v>20.32</v>
      </c>
      <c r="F29" s="191">
        <f t="shared" si="1"/>
        <v>0.6334164588528679</v>
      </c>
      <c r="G29" s="152">
        <f t="shared" si="2"/>
        <v>2.5140299251870331</v>
      </c>
      <c r="H29" s="191">
        <f t="shared" si="3"/>
        <v>0.12570149625935165</v>
      </c>
      <c r="I29" s="386">
        <f t="shared" si="4"/>
        <v>32.08</v>
      </c>
      <c r="J29" s="152">
        <f t="shared" si="5"/>
        <v>0.59665160902506231</v>
      </c>
      <c r="K29" s="152">
        <f t="shared" si="6"/>
        <v>7.6103521559319161</v>
      </c>
      <c r="L29" s="152">
        <f t="shared" si="7"/>
        <v>4.4044164052046915</v>
      </c>
      <c r="M29" s="386">
        <f t="shared" si="14"/>
        <v>83.230899947139662</v>
      </c>
      <c r="N29" s="175">
        <f t="shared" si="8"/>
        <v>331.06566916043226</v>
      </c>
      <c r="O29" s="191">
        <f t="shared" si="9"/>
        <v>0.15000000000000002</v>
      </c>
      <c r="P29" s="153">
        <f t="shared" si="10"/>
        <v>1.1072834645669292</v>
      </c>
      <c r="Q29" s="153">
        <f t="shared" si="11"/>
        <v>2.7493765586034922E-2</v>
      </c>
      <c r="R29" s="153">
        <f t="shared" si="12"/>
        <v>1.1072834645669289</v>
      </c>
    </row>
    <row r="30" spans="3:18" x14ac:dyDescent="0.25">
      <c r="C30" s="150">
        <v>24</v>
      </c>
      <c r="D30" s="5">
        <f t="shared" si="13"/>
        <v>11.879999999999999</v>
      </c>
      <c r="E30" s="386">
        <f t="shared" si="0"/>
        <v>20.32</v>
      </c>
      <c r="F30" s="191">
        <f t="shared" si="1"/>
        <v>0.63105590062111794</v>
      </c>
      <c r="G30" s="152">
        <f t="shared" si="2"/>
        <v>2.5302186335403722</v>
      </c>
      <c r="H30" s="191">
        <f t="shared" si="3"/>
        <v>0.1265109316770186</v>
      </c>
      <c r="I30" s="386">
        <f t="shared" si="4"/>
        <v>32.200000000000003</v>
      </c>
      <c r="J30" s="152">
        <f t="shared" si="5"/>
        <v>0.59283414489013797</v>
      </c>
      <c r="K30" s="152">
        <f t="shared" si="6"/>
        <v>7.485279607198712</v>
      </c>
      <c r="L30" s="152">
        <f t="shared" si="7"/>
        <v>4.3762363057834985</v>
      </c>
      <c r="M30" s="386">
        <f t="shared" si="14"/>
        <v>84.306256243817757</v>
      </c>
      <c r="N30" s="175">
        <f t="shared" si="8"/>
        <v>333.19751552795037</v>
      </c>
      <c r="O30" s="191">
        <f t="shared" si="9"/>
        <v>0.14999999999999997</v>
      </c>
      <c r="P30" s="153">
        <f t="shared" si="10"/>
        <v>1.1072834645669287</v>
      </c>
      <c r="Q30" s="153">
        <f t="shared" si="11"/>
        <v>2.7670807453416137E-2</v>
      </c>
      <c r="R30" s="153">
        <f t="shared" si="12"/>
        <v>1.1072834645669289</v>
      </c>
    </row>
    <row r="31" spans="3:18" x14ac:dyDescent="0.25">
      <c r="C31" s="150">
        <v>25</v>
      </c>
      <c r="D31" s="5">
        <f t="shared" si="13"/>
        <v>12</v>
      </c>
      <c r="E31" s="386">
        <f t="shared" si="0"/>
        <v>20.32</v>
      </c>
      <c r="F31" s="191">
        <f t="shared" si="1"/>
        <v>0.62871287128712872</v>
      </c>
      <c r="G31" s="152">
        <f t="shared" si="2"/>
        <v>2.5462871287128714</v>
      </c>
      <c r="H31" s="191">
        <f t="shared" si="3"/>
        <v>0.12731435643564357</v>
      </c>
      <c r="I31" s="386">
        <f t="shared" si="4"/>
        <v>32.32</v>
      </c>
      <c r="J31" s="152">
        <f t="shared" si="5"/>
        <v>0.58909303003791191</v>
      </c>
      <c r="K31" s="152">
        <f t="shared" si="6"/>
        <v>7.3636628754738984</v>
      </c>
      <c r="L31" s="152">
        <f t="shared" si="7"/>
        <v>4.3486198083507279</v>
      </c>
      <c r="M31" s="386">
        <f t="shared" si="14"/>
        <v>85.380452896774827</v>
      </c>
      <c r="N31" s="175">
        <f t="shared" si="8"/>
        <v>335.31353135313537</v>
      </c>
      <c r="O31" s="191">
        <f t="shared" si="9"/>
        <v>0.15</v>
      </c>
      <c r="P31" s="153">
        <f t="shared" si="10"/>
        <v>1.1072834645669289</v>
      </c>
      <c r="Q31" s="153">
        <f t="shared" si="11"/>
        <v>2.7846534653465344E-2</v>
      </c>
      <c r="R31" s="153">
        <f t="shared" si="12"/>
        <v>1.1072834645669289</v>
      </c>
    </row>
    <row r="32" spans="3:18" x14ac:dyDescent="0.25">
      <c r="C32" s="150">
        <v>26</v>
      </c>
      <c r="D32" s="5">
        <f t="shared" si="13"/>
        <v>12.120000000000001</v>
      </c>
      <c r="E32" s="386">
        <f t="shared" si="0"/>
        <v>20.32</v>
      </c>
      <c r="F32" s="191">
        <f t="shared" si="1"/>
        <v>0.6263871763255241</v>
      </c>
      <c r="G32" s="152">
        <f t="shared" si="2"/>
        <v>2.5622367447595567</v>
      </c>
      <c r="H32" s="191">
        <f t="shared" si="3"/>
        <v>0.12811183723797784</v>
      </c>
      <c r="I32" s="386">
        <f t="shared" si="4"/>
        <v>32.44</v>
      </c>
      <c r="J32" s="152">
        <f t="shared" si="5"/>
        <v>0.58542599666790818</v>
      </c>
      <c r="K32" s="152">
        <f t="shared" si="6"/>
        <v>7.2453712458899515</v>
      </c>
      <c r="L32" s="152">
        <f t="shared" si="7"/>
        <v>4.321550172253259</v>
      </c>
      <c r="M32" s="386">
        <f t="shared" si="14"/>
        <v>86.45342730793152</v>
      </c>
      <c r="N32" s="175">
        <f t="shared" si="8"/>
        <v>337.41389231401564</v>
      </c>
      <c r="O32" s="191">
        <f t="shared" si="9"/>
        <v>0.15000000000000002</v>
      </c>
      <c r="P32" s="153">
        <f t="shared" si="10"/>
        <v>1.1072834645669292</v>
      </c>
      <c r="Q32" s="153">
        <f t="shared" si="11"/>
        <v>2.8020961775585704E-2</v>
      </c>
      <c r="R32" s="153">
        <f t="shared" si="12"/>
        <v>1.1072834645669289</v>
      </c>
    </row>
    <row r="33" spans="3:18" x14ac:dyDescent="0.25">
      <c r="C33" s="150">
        <v>27</v>
      </c>
      <c r="D33" s="5">
        <f t="shared" si="13"/>
        <v>12.24</v>
      </c>
      <c r="E33" s="386">
        <f t="shared" si="0"/>
        <v>20.32</v>
      </c>
      <c r="F33" s="191">
        <f t="shared" si="1"/>
        <v>0.62407862407862402</v>
      </c>
      <c r="G33" s="152">
        <f t="shared" si="2"/>
        <v>2.5780687960687958</v>
      </c>
      <c r="H33" s="191">
        <f t="shared" si="3"/>
        <v>0.1289034398034398</v>
      </c>
      <c r="I33" s="386">
        <f t="shared" si="4"/>
        <v>32.56</v>
      </c>
      <c r="J33" s="152">
        <f t="shared" si="5"/>
        <v>0.5818308659130027</v>
      </c>
      <c r="K33" s="152">
        <f t="shared" si="6"/>
        <v>7.1302802195220911</v>
      </c>
      <c r="L33" s="152">
        <f t="shared" si="7"/>
        <v>4.2950113133341734</v>
      </c>
      <c r="M33" s="386">
        <f t="shared" si="14"/>
        <v>87.525118910467327</v>
      </c>
      <c r="N33" s="175">
        <f t="shared" si="8"/>
        <v>339.49877149877148</v>
      </c>
      <c r="O33" s="191">
        <f t="shared" si="9"/>
        <v>0.15</v>
      </c>
      <c r="P33" s="153">
        <f t="shared" si="10"/>
        <v>1.1072834645669289</v>
      </c>
      <c r="Q33" s="153">
        <f t="shared" si="11"/>
        <v>2.8194103194103187E-2</v>
      </c>
      <c r="R33" s="153">
        <f t="shared" si="12"/>
        <v>1.1072834645669289</v>
      </c>
    </row>
    <row r="34" spans="3:18" x14ac:dyDescent="0.25">
      <c r="C34" s="150">
        <v>28</v>
      </c>
      <c r="D34" s="5">
        <f t="shared" si="13"/>
        <v>12.36</v>
      </c>
      <c r="E34" s="386">
        <f t="shared" si="0"/>
        <v>20.32</v>
      </c>
      <c r="F34" s="191">
        <f t="shared" si="1"/>
        <v>0.6217870257037944</v>
      </c>
      <c r="G34" s="152">
        <f t="shared" si="2"/>
        <v>2.5937845777233783</v>
      </c>
      <c r="H34" s="191">
        <f t="shared" si="3"/>
        <v>0.12968922888616891</v>
      </c>
      <c r="I34" s="386">
        <f t="shared" si="4"/>
        <v>32.68</v>
      </c>
      <c r="J34" s="152">
        <f t="shared" si="5"/>
        <v>0.57830554352227004</v>
      </c>
      <c r="K34" s="152">
        <f t="shared" si="6"/>
        <v>7.0182711592508502</v>
      </c>
      <c r="L34" s="152">
        <f t="shared" si="7"/>
        <v>4.2689877720640013</v>
      </c>
      <c r="M34" s="386">
        <f t="shared" si="14"/>
        <v>88.595469111251262</v>
      </c>
      <c r="N34" s="175">
        <f t="shared" si="8"/>
        <v>341.56833945328441</v>
      </c>
      <c r="O34" s="191">
        <f t="shared" si="9"/>
        <v>0.15000000000000002</v>
      </c>
      <c r="P34" s="153">
        <f t="shared" si="10"/>
        <v>1.1072834645669292</v>
      </c>
      <c r="Q34" s="153">
        <f t="shared" si="11"/>
        <v>2.8365973072215431E-2</v>
      </c>
      <c r="R34" s="153">
        <f t="shared" si="12"/>
        <v>1.1072834645669289</v>
      </c>
    </row>
    <row r="35" spans="3:18" x14ac:dyDescent="0.25">
      <c r="C35" s="150">
        <v>29</v>
      </c>
      <c r="D35" s="5">
        <f t="shared" si="13"/>
        <v>12.48</v>
      </c>
      <c r="E35" s="386">
        <f t="shared" si="0"/>
        <v>20.32</v>
      </c>
      <c r="F35" s="191">
        <f t="shared" si="1"/>
        <v>0.61951219512195133</v>
      </c>
      <c r="G35" s="152">
        <f t="shared" si="2"/>
        <v>2.6093853658536594</v>
      </c>
      <c r="H35" s="191">
        <f t="shared" si="3"/>
        <v>0.13046926829268296</v>
      </c>
      <c r="I35" s="386">
        <f t="shared" si="4"/>
        <v>32.799999999999997</v>
      </c>
      <c r="J35" s="152">
        <f t="shared" si="5"/>
        <v>0.57484801579289746</v>
      </c>
      <c r="K35" s="152">
        <f t="shared" si="6"/>
        <v>6.9092309590492471</v>
      </c>
      <c r="L35" s="152">
        <f t="shared" si="7"/>
        <v>4.2434646835105614</v>
      </c>
      <c r="M35" s="386">
        <f t="shared" si="14"/>
        <v>89.66442123497923</v>
      </c>
      <c r="N35" s="175">
        <f t="shared" si="8"/>
        <v>343.62276422764234</v>
      </c>
      <c r="O35" s="191">
        <f t="shared" si="9"/>
        <v>0.15000000000000002</v>
      </c>
      <c r="P35" s="153">
        <f t="shared" si="10"/>
        <v>1.1072834645669292</v>
      </c>
      <c r="Q35" s="153">
        <f t="shared" si="11"/>
        <v>2.853658536585367E-2</v>
      </c>
      <c r="R35" s="153">
        <f t="shared" si="12"/>
        <v>1.1072834645669289</v>
      </c>
    </row>
    <row r="36" spans="3:18" x14ac:dyDescent="0.25">
      <c r="C36" s="150">
        <v>30</v>
      </c>
      <c r="D36" s="5">
        <f t="shared" si="13"/>
        <v>12.6</v>
      </c>
      <c r="E36" s="386">
        <f t="shared" si="0"/>
        <v>20.32</v>
      </c>
      <c r="F36" s="191">
        <f t="shared" si="1"/>
        <v>0.61725394896719321</v>
      </c>
      <c r="G36" s="152">
        <f t="shared" si="2"/>
        <v>2.6248724179829894</v>
      </c>
      <c r="H36" s="191">
        <f t="shared" si="3"/>
        <v>0.13124362089914948</v>
      </c>
      <c r="I36" s="386">
        <f t="shared" si="4"/>
        <v>32.92</v>
      </c>
      <c r="J36" s="152">
        <f t="shared" si="5"/>
        <v>0.57145634573456094</v>
      </c>
      <c r="K36" s="152">
        <f t="shared" si="6"/>
        <v>6.8030517349352495</v>
      </c>
      <c r="L36" s="152">
        <f t="shared" si="7"/>
        <v>4.2184277490248103</v>
      </c>
      <c r="M36" s="386">
        <f t="shared" si="14"/>
        <v>90.731920469963626</v>
      </c>
      <c r="N36" s="175">
        <f t="shared" si="8"/>
        <v>345.66221142162829</v>
      </c>
      <c r="O36" s="191">
        <f t="shared" si="9"/>
        <v>0.14999999999999997</v>
      </c>
      <c r="P36" s="153">
        <f t="shared" si="10"/>
        <v>1.1072834645669287</v>
      </c>
      <c r="Q36" s="153">
        <f t="shared" si="11"/>
        <v>2.8705953827460502E-2</v>
      </c>
      <c r="R36" s="153">
        <f t="shared" si="12"/>
        <v>1.1072834645669289</v>
      </c>
    </row>
    <row r="37" spans="3:18" x14ac:dyDescent="0.25">
      <c r="C37" s="150">
        <v>31</v>
      </c>
      <c r="D37" s="5">
        <f t="shared" si="13"/>
        <v>12.719999999999999</v>
      </c>
      <c r="E37" s="386">
        <f t="shared" si="0"/>
        <v>20.32</v>
      </c>
      <c r="F37" s="191">
        <f t="shared" si="1"/>
        <v>0.61501210653753025</v>
      </c>
      <c r="G37" s="152">
        <f t="shared" si="2"/>
        <v>2.6402469733656173</v>
      </c>
      <c r="H37" s="191">
        <f t="shared" si="3"/>
        <v>0.13201234866828088</v>
      </c>
      <c r="I37" s="386">
        <f t="shared" si="4"/>
        <v>33.04</v>
      </c>
      <c r="J37" s="152">
        <f t="shared" si="5"/>
        <v>0.56812866945091001</v>
      </c>
      <c r="K37" s="152">
        <f t="shared" si="6"/>
        <v>6.6996305359777129</v>
      </c>
      <c r="L37" s="152">
        <f t="shared" si="7"/>
        <v>4.1938632095293551</v>
      </c>
      <c r="M37" s="386">
        <f t="shared" si="14"/>
        <v>91.797913815523302</v>
      </c>
      <c r="N37" s="175">
        <f t="shared" si="8"/>
        <v>347.68684422921712</v>
      </c>
      <c r="O37" s="191">
        <f t="shared" si="9"/>
        <v>0.15</v>
      </c>
      <c r="P37" s="153">
        <f t="shared" si="10"/>
        <v>1.1072834645669289</v>
      </c>
      <c r="Q37" s="153">
        <f t="shared" si="11"/>
        <v>2.8874092009685225E-2</v>
      </c>
      <c r="R37" s="153">
        <f t="shared" si="12"/>
        <v>1.1072834645669289</v>
      </c>
    </row>
    <row r="38" spans="3:18" x14ac:dyDescent="0.25">
      <c r="C38" s="150">
        <v>32</v>
      </c>
      <c r="D38" s="5">
        <f t="shared" si="13"/>
        <v>12.84</v>
      </c>
      <c r="E38" s="386">
        <f t="shared" ref="E38:E69" si="15">(Vout+Vfwd1)*Nps</f>
        <v>20.32</v>
      </c>
      <c r="F38" s="191">
        <f t="shared" ref="F38:F69" si="16">(Vout+Vfwd1)*Nps/((Vout+Vfwd1)*Nps+D38)</f>
        <v>0.61278648974668282</v>
      </c>
      <c r="G38" s="152">
        <f t="shared" ref="G38:G69" si="17">F38*D38*Isw_max*0.5*Efficiency</f>
        <v>2.6555102533172499</v>
      </c>
      <c r="H38" s="191">
        <f t="shared" ref="H38:H69" si="18">G38/Vout</f>
        <v>0.13277551266586249</v>
      </c>
      <c r="I38" s="386">
        <f t="shared" ref="I38:I69" si="19">(Vout+Vfwd1)*Nps+D38</f>
        <v>33.159999999999997</v>
      </c>
      <c r="J38" s="152">
        <f t="shared" ref="J38:J69" si="20">MIN(2*Vout*Iout/(Efficiency*D38*F38), 1.35)</f>
        <v>0.56486319272396235</v>
      </c>
      <c r="K38" s="152">
        <f t="shared" ref="K38:K69" si="21">L*J38/D38*1000000</f>
        <v>6.5988690738780642</v>
      </c>
      <c r="L38" s="152">
        <f t="shared" ref="L38:L69" si="22">L*J38/((Vout+Vfwd1)*Nps)*1000000</f>
        <v>4.1697578203048398</v>
      </c>
      <c r="M38" s="386">
        <f t="shared" si="14"/>
        <v>92.862350030920766</v>
      </c>
      <c r="N38" s="175">
        <f t="shared" ref="N38:N69" si="23">IF(1/((350000*L)*(1/D38+1/E38))&gt;Isw_min, 350, 0.001/((Isw_min*L)*(1/D38+1/E38)))</f>
        <v>349.69682348210711</v>
      </c>
      <c r="O38" s="191">
        <f t="shared" ref="O38:O69" si="24">1/((N38*1000*L)*(1/D38+1/E38))</f>
        <v>0.14999999999999997</v>
      </c>
      <c r="P38" s="153">
        <f t="shared" ref="P38:P69" si="25">L*O38/E38*1000000</f>
        <v>1.1072834645669287</v>
      </c>
      <c r="Q38" s="153">
        <f t="shared" ref="Q38:Q69" si="26">0.5*P38*O38*Nps*N38/1000</f>
        <v>2.9041013268998789E-2</v>
      </c>
      <c r="R38" s="153">
        <f t="shared" ref="R38:R69" si="27">L*Isw_min/E38*1000000</f>
        <v>1.1072834645669289</v>
      </c>
    </row>
    <row r="39" spans="3:18" x14ac:dyDescent="0.25">
      <c r="C39" s="150">
        <v>33</v>
      </c>
      <c r="D39" s="5">
        <f t="shared" ref="D39:D70" si="28">C39/100*(VIN_max-VIN_min)+VIN_min</f>
        <v>12.96</v>
      </c>
      <c r="E39" s="386">
        <f t="shared" si="15"/>
        <v>20.32</v>
      </c>
      <c r="F39" s="191">
        <f t="shared" si="16"/>
        <v>0.61057692307692302</v>
      </c>
      <c r="G39" s="152">
        <f t="shared" si="17"/>
        <v>2.6706634615384615</v>
      </c>
      <c r="H39" s="191">
        <f t="shared" si="18"/>
        <v>0.13353317307692308</v>
      </c>
      <c r="I39" s="386">
        <f t="shared" si="19"/>
        <v>33.28</v>
      </c>
      <c r="J39" s="152">
        <f t="shared" si="20"/>
        <v>0.56165818778825483</v>
      </c>
      <c r="K39" s="152">
        <f t="shared" si="21"/>
        <v>6.500673469771467</v>
      </c>
      <c r="L39" s="152">
        <f t="shared" si="22"/>
        <v>4.1460988271770773</v>
      </c>
      <c r="M39" s="386">
        <f t="shared" si="14"/>
        <v>93.925179585798844</v>
      </c>
      <c r="N39" s="175">
        <f t="shared" si="23"/>
        <v>350</v>
      </c>
      <c r="O39" s="191">
        <f t="shared" si="24"/>
        <v>0.15072527472527478</v>
      </c>
      <c r="P39" s="153">
        <f t="shared" si="25"/>
        <v>1.1126373626373629</v>
      </c>
      <c r="Q39" s="153">
        <f t="shared" si="26"/>
        <v>2.93479501267963E-2</v>
      </c>
      <c r="R39" s="153">
        <f t="shared" si="27"/>
        <v>1.1072834645669289</v>
      </c>
    </row>
    <row r="40" spans="3:18" x14ac:dyDescent="0.25">
      <c r="C40" s="150">
        <v>34</v>
      </c>
      <c r="D40" s="5">
        <f t="shared" si="28"/>
        <v>13.08</v>
      </c>
      <c r="E40" s="386">
        <f t="shared" si="15"/>
        <v>20.32</v>
      </c>
      <c r="F40" s="191">
        <f t="shared" si="16"/>
        <v>0.60838323353293422</v>
      </c>
      <c r="G40" s="152">
        <f t="shared" si="17"/>
        <v>2.6857077844311386</v>
      </c>
      <c r="H40" s="191">
        <f t="shared" si="18"/>
        <v>0.13428538922155692</v>
      </c>
      <c r="I40" s="386">
        <f t="shared" si="19"/>
        <v>33.4</v>
      </c>
      <c r="J40" s="152">
        <f t="shared" si="20"/>
        <v>0.55851199028256016</v>
      </c>
      <c r="K40" s="152">
        <f t="shared" si="21"/>
        <v>6.4049540170018355</v>
      </c>
      <c r="L40" s="152">
        <f t="shared" si="22"/>
        <v>4.1228739440149615</v>
      </c>
      <c r="M40" s="386">
        <f t="shared" si="14"/>
        <v>94.986354612069306</v>
      </c>
      <c r="N40" s="175">
        <f t="shared" si="23"/>
        <v>350</v>
      </c>
      <c r="O40" s="191">
        <f t="shared" si="24"/>
        <v>0.15157433704020534</v>
      </c>
      <c r="P40" s="153">
        <f t="shared" si="25"/>
        <v>1.1189050470487596</v>
      </c>
      <c r="Q40" s="153">
        <f t="shared" si="26"/>
        <v>2.9679525875537214E-2</v>
      </c>
      <c r="R40" s="153">
        <f t="shared" si="27"/>
        <v>1.1072834645669289</v>
      </c>
    </row>
    <row r="41" spans="3:18" x14ac:dyDescent="0.25">
      <c r="C41" s="150">
        <v>35</v>
      </c>
      <c r="D41" s="5">
        <f t="shared" si="28"/>
        <v>13.2</v>
      </c>
      <c r="E41" s="386">
        <f t="shared" si="15"/>
        <v>20.32</v>
      </c>
      <c r="F41" s="191">
        <f t="shared" si="16"/>
        <v>0.60620525059665875</v>
      </c>
      <c r="G41" s="152">
        <f t="shared" si="17"/>
        <v>2.7006443914081144</v>
      </c>
      <c r="H41" s="191">
        <f t="shared" si="18"/>
        <v>0.13503221957040573</v>
      </c>
      <c r="I41" s="386">
        <f t="shared" si="19"/>
        <v>33.519999999999996</v>
      </c>
      <c r="J41" s="152">
        <f t="shared" si="20"/>
        <v>0.55542299636787829</v>
      </c>
      <c r="K41" s="152">
        <f t="shared" si="21"/>
        <v>6.311624958725889</v>
      </c>
      <c r="L41" s="152">
        <f t="shared" si="22"/>
        <v>4.1000713314557942</v>
      </c>
      <c r="M41" s="386">
        <f t="shared" si="14"/>
        <v>96.045828857206317</v>
      </c>
      <c r="N41" s="175">
        <f t="shared" si="23"/>
        <v>350</v>
      </c>
      <c r="O41" s="191">
        <f t="shared" si="24"/>
        <v>0.15241732015001708</v>
      </c>
      <c r="P41" s="153">
        <f t="shared" si="25"/>
        <v>1.1251278554381181</v>
      </c>
      <c r="Q41" s="153">
        <f t="shared" si="26"/>
        <v>3.0010570196602412E-2</v>
      </c>
      <c r="R41" s="153">
        <f t="shared" si="27"/>
        <v>1.1072834645669289</v>
      </c>
    </row>
    <row r="42" spans="3:18" x14ac:dyDescent="0.25">
      <c r="C42" s="150">
        <v>36</v>
      </c>
      <c r="D42" s="5">
        <f t="shared" si="28"/>
        <v>13.32</v>
      </c>
      <c r="E42" s="386">
        <f t="shared" si="15"/>
        <v>20.32</v>
      </c>
      <c r="F42" s="191">
        <f t="shared" si="16"/>
        <v>0.60404280618311534</v>
      </c>
      <c r="G42" s="152">
        <f t="shared" si="17"/>
        <v>2.715474435196195</v>
      </c>
      <c r="H42" s="191">
        <f t="shared" si="18"/>
        <v>0.13577372175980976</v>
      </c>
      <c r="I42" s="386">
        <f t="shared" si="19"/>
        <v>33.64</v>
      </c>
      <c r="J42" s="152">
        <f t="shared" si="20"/>
        <v>0.55238966000120848</v>
      </c>
      <c r="K42" s="152">
        <f t="shared" si="21"/>
        <v>6.2206042792928873</v>
      </c>
      <c r="L42" s="152">
        <f t="shared" si="22"/>
        <v>4.0776795767805734</v>
      </c>
      <c r="M42" s="386">
        <f t="shared" si="14"/>
        <v>97.103557638901691</v>
      </c>
      <c r="N42" s="175">
        <f t="shared" si="23"/>
        <v>350</v>
      </c>
      <c r="O42" s="191">
        <f t="shared" si="24"/>
        <v>0.15325428911160185</v>
      </c>
      <c r="P42" s="153">
        <f t="shared" si="25"/>
        <v>1.131306268048242</v>
      </c>
      <c r="Q42" s="153">
        <f t="shared" si="26"/>
        <v>3.034106912851571E-2</v>
      </c>
      <c r="R42" s="153">
        <f t="shared" si="27"/>
        <v>1.1072834645669289</v>
      </c>
    </row>
    <row r="43" spans="3:18" x14ac:dyDescent="0.25">
      <c r="C43" s="150">
        <v>37</v>
      </c>
      <c r="D43" s="5">
        <f t="shared" si="28"/>
        <v>13.44</v>
      </c>
      <c r="E43" s="386">
        <f t="shared" si="15"/>
        <v>20.32</v>
      </c>
      <c r="F43" s="191">
        <f t="shared" si="16"/>
        <v>0.6018957345971564</v>
      </c>
      <c r="G43" s="152">
        <f t="shared" si="17"/>
        <v>2.7301990521327015</v>
      </c>
      <c r="H43" s="191">
        <f t="shared" si="18"/>
        <v>0.13650995260663507</v>
      </c>
      <c r="I43" s="386">
        <f t="shared" si="19"/>
        <v>33.76</v>
      </c>
      <c r="J43" s="152">
        <f t="shared" si="20"/>
        <v>0.54941049035537226</v>
      </c>
      <c r="K43" s="152">
        <f t="shared" si="21"/>
        <v>6.1318135084304943</v>
      </c>
      <c r="L43" s="152">
        <f t="shared" si="22"/>
        <v>4.0556876748674133</v>
      </c>
      <c r="M43" s="386">
        <f t="shared" si="14"/>
        <v>98.159497801037702</v>
      </c>
      <c r="N43" s="175">
        <f t="shared" si="23"/>
        <v>350</v>
      </c>
      <c r="O43" s="191">
        <f t="shared" si="24"/>
        <v>0.15408530805687207</v>
      </c>
      <c r="P43" s="153">
        <f t="shared" si="25"/>
        <v>1.1374407582938388</v>
      </c>
      <c r="Q43" s="153">
        <f t="shared" si="26"/>
        <v>3.0671009186675952E-2</v>
      </c>
      <c r="R43" s="153">
        <f t="shared" si="27"/>
        <v>1.1072834645669289</v>
      </c>
    </row>
    <row r="44" spans="3:18" x14ac:dyDescent="0.25">
      <c r="C44" s="150">
        <v>38</v>
      </c>
      <c r="D44" s="5">
        <f t="shared" si="28"/>
        <v>13.56</v>
      </c>
      <c r="E44" s="386">
        <f t="shared" si="15"/>
        <v>20.32</v>
      </c>
      <c r="F44" s="191">
        <f t="shared" si="16"/>
        <v>0.59976387249114516</v>
      </c>
      <c r="G44" s="152">
        <f t="shared" si="17"/>
        <v>2.744819362455726</v>
      </c>
      <c r="H44" s="191">
        <f t="shared" si="18"/>
        <v>0.1372409681227863</v>
      </c>
      <c r="I44" s="386">
        <f t="shared" si="19"/>
        <v>33.880000000000003</v>
      </c>
      <c r="J44" s="152">
        <f t="shared" si="20"/>
        <v>0.54648404937583395</v>
      </c>
      <c r="K44" s="152">
        <f t="shared" si="21"/>
        <v>6.045177537343295</v>
      </c>
      <c r="L44" s="152">
        <f t="shared" si="22"/>
        <v>4.0340850101562546</v>
      </c>
      <c r="M44" s="386">
        <f t="shared" si="14"/>
        <v>99.21360767093806</v>
      </c>
      <c r="N44" s="175">
        <f t="shared" si="23"/>
        <v>350</v>
      </c>
      <c r="O44" s="191">
        <f t="shared" si="24"/>
        <v>0.15491044020914155</v>
      </c>
      <c r="P44" s="153">
        <f t="shared" si="25"/>
        <v>1.1435317928824424</v>
      </c>
      <c r="Q44" s="153">
        <f t="shared" si="26"/>
        <v>3.1000377349999404E-2</v>
      </c>
      <c r="R44" s="153">
        <f t="shared" si="27"/>
        <v>1.1072834645669289</v>
      </c>
    </row>
    <row r="45" spans="3:18" x14ac:dyDescent="0.25">
      <c r="C45" s="150">
        <v>39</v>
      </c>
      <c r="D45" s="5">
        <f t="shared" si="28"/>
        <v>13.68</v>
      </c>
      <c r="E45" s="386">
        <f t="shared" si="15"/>
        <v>20.32</v>
      </c>
      <c r="F45" s="191">
        <f t="shared" si="16"/>
        <v>0.59764705882352942</v>
      </c>
      <c r="G45" s="152">
        <f t="shared" si="17"/>
        <v>2.7593364705882353</v>
      </c>
      <c r="H45" s="191">
        <f t="shared" si="18"/>
        <v>0.13796682352941175</v>
      </c>
      <c r="I45" s="386">
        <f t="shared" si="19"/>
        <v>34</v>
      </c>
      <c r="J45" s="152">
        <f t="shared" si="20"/>
        <v>0.54360894946611205</v>
      </c>
      <c r="K45" s="152">
        <f t="shared" si="21"/>
        <v>5.9606244459003506</v>
      </c>
      <c r="L45" s="152">
        <f t="shared" si="22"/>
        <v>4.0128613395628348</v>
      </c>
      <c r="M45" s="386">
        <f t="shared" si="14"/>
        <v>100.26584701785468</v>
      </c>
      <c r="N45" s="175">
        <f t="shared" si="23"/>
        <v>350</v>
      </c>
      <c r="O45" s="191">
        <f t="shared" si="24"/>
        <v>0.15572974789915969</v>
      </c>
      <c r="P45" s="153">
        <f t="shared" si="25"/>
        <v>1.1495798319327732</v>
      </c>
      <c r="Q45" s="153">
        <f t="shared" si="26"/>
        <v>3.1329161047948598E-2</v>
      </c>
      <c r="R45" s="153">
        <f t="shared" si="27"/>
        <v>1.1072834645669289</v>
      </c>
    </row>
    <row r="46" spans="3:18" x14ac:dyDescent="0.25">
      <c r="C46" s="150">
        <v>40</v>
      </c>
      <c r="D46" s="5">
        <f t="shared" si="28"/>
        <v>13.8</v>
      </c>
      <c r="E46" s="386">
        <f t="shared" si="15"/>
        <v>20.32</v>
      </c>
      <c r="F46" s="191">
        <f t="shared" si="16"/>
        <v>0.5955451348182883</v>
      </c>
      <c r="G46" s="152">
        <f t="shared" si="17"/>
        <v>2.7737514654161783</v>
      </c>
      <c r="H46" s="191">
        <f t="shared" si="18"/>
        <v>0.13868757327080891</v>
      </c>
      <c r="I46" s="386">
        <f t="shared" si="19"/>
        <v>34.120000000000005</v>
      </c>
      <c r="J46" s="152">
        <f t="shared" si="20"/>
        <v>0.54078385129395057</v>
      </c>
      <c r="K46" s="152">
        <f t="shared" si="21"/>
        <v>5.8780853401516362</v>
      </c>
      <c r="L46" s="152">
        <f t="shared" si="22"/>
        <v>3.9920067762840841</v>
      </c>
      <c r="M46" s="386">
        <f t="shared" si="14"/>
        <v>101.31617701265377</v>
      </c>
      <c r="N46" s="175">
        <f t="shared" si="23"/>
        <v>350</v>
      </c>
      <c r="O46" s="191">
        <f t="shared" si="24"/>
        <v>0.15654329258080726</v>
      </c>
      <c r="P46" s="153">
        <f t="shared" si="25"/>
        <v>1.1555853290906049</v>
      </c>
      <c r="Q46" s="153">
        <f t="shared" si="26"/>
        <v>3.1657348147935825E-2</v>
      </c>
      <c r="R46" s="153">
        <f t="shared" si="27"/>
        <v>1.1072834645669289</v>
      </c>
    </row>
    <row r="47" spans="3:18" x14ac:dyDescent="0.25">
      <c r="C47" s="150">
        <v>41</v>
      </c>
      <c r="D47" s="5">
        <f t="shared" si="28"/>
        <v>13.92</v>
      </c>
      <c r="E47" s="386">
        <f t="shared" si="15"/>
        <v>20.32</v>
      </c>
      <c r="F47" s="191">
        <f t="shared" si="16"/>
        <v>0.59345794392523366</v>
      </c>
      <c r="G47" s="152">
        <f t="shared" si="17"/>
        <v>2.788065420560748</v>
      </c>
      <c r="H47" s="191">
        <f t="shared" si="18"/>
        <v>0.1394032710280374</v>
      </c>
      <c r="I47" s="386">
        <f t="shared" si="19"/>
        <v>34.24</v>
      </c>
      <c r="J47" s="152">
        <f t="shared" si="20"/>
        <v>0.53800746171096425</v>
      </c>
      <c r="K47" s="152">
        <f t="shared" si="21"/>
        <v>5.7974941994715961</v>
      </c>
      <c r="L47" s="152">
        <f t="shared" si="22"/>
        <v>3.9715117744411725</v>
      </c>
      <c r="M47" s="386">
        <f t="shared" si="14"/>
        <v>102.36456018866279</v>
      </c>
      <c r="N47" s="175">
        <f t="shared" si="23"/>
        <v>350</v>
      </c>
      <c r="O47" s="191">
        <f t="shared" si="24"/>
        <v>0.15735113484646199</v>
      </c>
      <c r="P47" s="153">
        <f t="shared" si="25"/>
        <v>1.1615487316421897</v>
      </c>
      <c r="Q47" s="153">
        <f t="shared" si="26"/>
        <v>3.1984926943089236E-2</v>
      </c>
      <c r="R47" s="153">
        <f t="shared" si="27"/>
        <v>1.1072834645669289</v>
      </c>
    </row>
    <row r="48" spans="3:18" x14ac:dyDescent="0.25">
      <c r="C48" s="150">
        <v>42</v>
      </c>
      <c r="D48" s="5">
        <f t="shared" si="28"/>
        <v>14.04</v>
      </c>
      <c r="E48" s="386">
        <f t="shared" si="15"/>
        <v>20.32</v>
      </c>
      <c r="F48" s="191">
        <f t="shared" si="16"/>
        <v>0.59138533178114083</v>
      </c>
      <c r="G48" s="152">
        <f t="shared" si="17"/>
        <v>2.8022793946449358</v>
      </c>
      <c r="H48" s="191">
        <f t="shared" si="18"/>
        <v>0.1401139697322468</v>
      </c>
      <c r="I48" s="386">
        <f t="shared" si="19"/>
        <v>34.36</v>
      </c>
      <c r="J48" s="152">
        <f t="shared" si="20"/>
        <v>0.53527853177896934</v>
      </c>
      <c r="K48" s="152">
        <f t="shared" si="21"/>
        <v>5.7187877326812959</v>
      </c>
      <c r="L48" s="152">
        <f t="shared" si="22"/>
        <v>3.9513671145101079</v>
      </c>
      <c r="M48" s="386">
        <f t="shared" si="14"/>
        <v>103.41096040364231</v>
      </c>
      <c r="N48" s="175">
        <f t="shared" si="23"/>
        <v>350</v>
      </c>
      <c r="O48" s="191">
        <f t="shared" si="24"/>
        <v>0.15815333444204227</v>
      </c>
      <c r="P48" s="153">
        <f t="shared" si="25"/>
        <v>1.167470480625312</v>
      </c>
      <c r="Q48" s="153">
        <f t="shared" si="26"/>
        <v>3.2311886140370685E-2</v>
      </c>
      <c r="R48" s="153">
        <f t="shared" si="27"/>
        <v>1.1072834645669289</v>
      </c>
    </row>
    <row r="49" spans="3:18" x14ac:dyDescent="0.25">
      <c r="C49" s="150">
        <v>43</v>
      </c>
      <c r="D49" s="5">
        <f t="shared" si="28"/>
        <v>14.16</v>
      </c>
      <c r="E49" s="386">
        <f t="shared" si="15"/>
        <v>20.32</v>
      </c>
      <c r="F49" s="191">
        <f t="shared" si="16"/>
        <v>0.58932714617169368</v>
      </c>
      <c r="G49" s="152">
        <f t="shared" si="17"/>
        <v>2.816394431554524</v>
      </c>
      <c r="H49" s="191">
        <f t="shared" si="18"/>
        <v>0.14081972157772621</v>
      </c>
      <c r="I49" s="386">
        <f t="shared" si="19"/>
        <v>34.480000000000004</v>
      </c>
      <c r="J49" s="152">
        <f t="shared" si="20"/>
        <v>0.53259585489666905</v>
      </c>
      <c r="K49" s="152">
        <f t="shared" si="21"/>
        <v>5.6419052425494591</v>
      </c>
      <c r="L49" s="152">
        <f t="shared" si="22"/>
        <v>3.9315638894931277</v>
      </c>
      <c r="M49" s="386">
        <f t="shared" si="14"/>
        <v>104.45534280284883</v>
      </c>
      <c r="N49" s="175">
        <f t="shared" si="23"/>
        <v>350</v>
      </c>
      <c r="O49" s="191">
        <f t="shared" si="24"/>
        <v>0.15894995028173683</v>
      </c>
      <c r="P49" s="153">
        <f t="shared" si="25"/>
        <v>1.1733510109380179</v>
      </c>
      <c r="Q49" s="153">
        <f t="shared" si="26"/>
        <v>3.2638214849034126E-2</v>
      </c>
      <c r="R49" s="153">
        <f t="shared" si="27"/>
        <v>1.1072834645669289</v>
      </c>
    </row>
    <row r="50" spans="3:18" x14ac:dyDescent="0.25">
      <c r="C50" s="150">
        <v>44</v>
      </c>
      <c r="D50" s="5">
        <f t="shared" si="28"/>
        <v>14.280000000000001</v>
      </c>
      <c r="E50" s="386">
        <f t="shared" si="15"/>
        <v>20.32</v>
      </c>
      <c r="F50" s="191">
        <f t="shared" si="16"/>
        <v>0.58728323699421958</v>
      </c>
      <c r="G50" s="152">
        <f t="shared" si="17"/>
        <v>2.830411560693642</v>
      </c>
      <c r="H50" s="191">
        <f t="shared" si="18"/>
        <v>0.1415205780346821</v>
      </c>
      <c r="I50" s="386">
        <f t="shared" si="19"/>
        <v>34.6</v>
      </c>
      <c r="J50" s="152">
        <f t="shared" si="20"/>
        <v>0.52995826502079391</v>
      </c>
      <c r="K50" s="152">
        <f t="shared" si="21"/>
        <v>5.5667884981175817</v>
      </c>
      <c r="L50" s="152">
        <f t="shared" si="22"/>
        <v>3.9120934917873567</v>
      </c>
      <c r="M50" s="386">
        <f t="shared" si="14"/>
        <v>105.4976737831535</v>
      </c>
      <c r="N50" s="175">
        <f t="shared" si="23"/>
        <v>350</v>
      </c>
      <c r="O50" s="191">
        <f t="shared" si="24"/>
        <v>0.15974104046242776</v>
      </c>
      <c r="P50" s="153">
        <f t="shared" si="25"/>
        <v>1.1791907514450868</v>
      </c>
      <c r="Q50" s="153">
        <f t="shared" si="26"/>
        <v>3.296390256941429E-2</v>
      </c>
      <c r="R50" s="153">
        <f t="shared" si="27"/>
        <v>1.1072834645669289</v>
      </c>
    </row>
    <row r="51" spans="3:18" x14ac:dyDescent="0.25">
      <c r="C51" s="150">
        <v>45</v>
      </c>
      <c r="D51" s="5">
        <f t="shared" si="28"/>
        <v>14.4</v>
      </c>
      <c r="E51" s="386">
        <f t="shared" si="15"/>
        <v>20.32</v>
      </c>
      <c r="F51" s="191">
        <f t="shared" si="16"/>
        <v>0.58525345622119818</v>
      </c>
      <c r="G51" s="152">
        <f t="shared" si="17"/>
        <v>2.8443317972350237</v>
      </c>
      <c r="H51" s="191">
        <f t="shared" si="18"/>
        <v>0.14221658986175117</v>
      </c>
      <c r="I51" s="386">
        <f t="shared" si="19"/>
        <v>34.72</v>
      </c>
      <c r="J51" s="152">
        <f t="shared" si="20"/>
        <v>0.52736463497618347</v>
      </c>
      <c r="K51" s="152">
        <f t="shared" si="21"/>
        <v>5.4933816143352434</v>
      </c>
      <c r="L51" s="152">
        <f t="shared" si="22"/>
        <v>3.8929476007100146</v>
      </c>
      <c r="M51" s="386">
        <f t="shared" si="14"/>
        <v>106.53792095818561</v>
      </c>
      <c r="N51" s="175">
        <f t="shared" si="23"/>
        <v>350</v>
      </c>
      <c r="O51" s="191">
        <f t="shared" si="24"/>
        <v>0.16052666227781437</v>
      </c>
      <c r="P51" s="153">
        <f t="shared" si="25"/>
        <v>1.1849901250822912</v>
      </c>
      <c r="Q51" s="153">
        <f t="shared" si="26"/>
        <v>3.3288939182035245E-2</v>
      </c>
      <c r="R51" s="153">
        <f t="shared" si="27"/>
        <v>1.1072834645669289</v>
      </c>
    </row>
    <row r="52" spans="3:18" x14ac:dyDescent="0.25">
      <c r="C52" s="150">
        <v>46</v>
      </c>
      <c r="D52" s="5">
        <f t="shared" si="28"/>
        <v>14.52</v>
      </c>
      <c r="E52" s="386">
        <f t="shared" si="15"/>
        <v>20.32</v>
      </c>
      <c r="F52" s="191">
        <f t="shared" si="16"/>
        <v>0.58323765786452353</v>
      </c>
      <c r="G52" s="152">
        <f t="shared" si="17"/>
        <v>2.8581561423650976</v>
      </c>
      <c r="H52" s="191">
        <f t="shared" si="18"/>
        <v>0.14290780711825488</v>
      </c>
      <c r="I52" s="386">
        <f t="shared" si="19"/>
        <v>34.840000000000003</v>
      </c>
      <c r="J52" s="152">
        <f t="shared" si="20"/>
        <v>0.5248138748496658</v>
      </c>
      <c r="K52" s="152">
        <f t="shared" si="21"/>
        <v>5.4216309385296046</v>
      </c>
      <c r="L52" s="152">
        <f t="shared" si="22"/>
        <v>3.8741181706422174</v>
      </c>
      <c r="M52" s="386">
        <f t="shared" si="14"/>
        <v>107.57605312446863</v>
      </c>
      <c r="N52" s="175">
        <f t="shared" si="23"/>
        <v>350</v>
      </c>
      <c r="O52" s="191">
        <f t="shared" si="24"/>
        <v>0.16130687223224541</v>
      </c>
      <c r="P52" s="153">
        <f t="shared" si="25"/>
        <v>1.1907495489585045</v>
      </c>
      <c r="Q52" s="153">
        <f t="shared" si="26"/>
        <v>3.3613314937029334E-2</v>
      </c>
      <c r="R52" s="153">
        <f t="shared" si="27"/>
        <v>1.1072834645669289</v>
      </c>
    </row>
    <row r="53" spans="3:18" x14ac:dyDescent="0.25">
      <c r="C53" s="150">
        <v>47</v>
      </c>
      <c r="D53" s="5">
        <f t="shared" si="28"/>
        <v>14.64</v>
      </c>
      <c r="E53" s="386">
        <f t="shared" si="15"/>
        <v>20.32</v>
      </c>
      <c r="F53" s="191">
        <f t="shared" si="16"/>
        <v>0.58123569794050345</v>
      </c>
      <c r="G53" s="152">
        <f t="shared" si="17"/>
        <v>2.8718855835240276</v>
      </c>
      <c r="H53" s="191">
        <f t="shared" si="18"/>
        <v>0.14359427917620138</v>
      </c>
      <c r="I53" s="386">
        <f t="shared" si="19"/>
        <v>34.96</v>
      </c>
      <c r="J53" s="152">
        <f t="shared" si="20"/>
        <v>0.52230493046292714</v>
      </c>
      <c r="K53" s="152">
        <f t="shared" si="21"/>
        <v>5.3514849432676961</v>
      </c>
      <c r="L53" s="152">
        <f t="shared" si="22"/>
        <v>3.8555974197558593</v>
      </c>
      <c r="M53" s="386">
        <f t="shared" si="14"/>
        <v>108.61204022851875</v>
      </c>
      <c r="N53" s="175">
        <f t="shared" si="23"/>
        <v>350</v>
      </c>
      <c r="O53" s="191">
        <f t="shared" si="24"/>
        <v>0.16208172605426616</v>
      </c>
      <c r="P53" s="153">
        <f t="shared" si="25"/>
        <v>1.1964694344557048</v>
      </c>
      <c r="Q53" s="153">
        <f t="shared" si="26"/>
        <v>3.3937020443856651E-2</v>
      </c>
      <c r="R53" s="153">
        <f t="shared" si="27"/>
        <v>1.1072834645669289</v>
      </c>
    </row>
    <row r="54" spans="3:18" x14ac:dyDescent="0.25">
      <c r="C54" s="150">
        <v>48</v>
      </c>
      <c r="D54" s="5">
        <f t="shared" si="28"/>
        <v>14.76</v>
      </c>
      <c r="E54" s="386">
        <f t="shared" si="15"/>
        <v>20.32</v>
      </c>
      <c r="F54" s="191">
        <f t="shared" si="16"/>
        <v>0.57924743443557591</v>
      </c>
      <c r="G54" s="152">
        <f t="shared" si="17"/>
        <v>2.8855210946408216</v>
      </c>
      <c r="H54" s="191">
        <f t="shared" si="18"/>
        <v>0.14427605473204108</v>
      </c>
      <c r="I54" s="386">
        <f t="shared" si="19"/>
        <v>35.08</v>
      </c>
      <c r="J54" s="152">
        <f t="shared" si="20"/>
        <v>0.51983678191987515</v>
      </c>
      <c r="K54" s="152">
        <f t="shared" si="21"/>
        <v>5.2828941252019819</v>
      </c>
      <c r="L54" s="152">
        <f t="shared" si="22"/>
        <v>3.8373778192904164</v>
      </c>
      <c r="M54" s="386">
        <f t="shared" si="14"/>
        <v>109.64585333487624</v>
      </c>
      <c r="N54" s="175">
        <f t="shared" si="23"/>
        <v>350</v>
      </c>
      <c r="O54" s="191">
        <f t="shared" si="24"/>
        <v>0.16285127870988761</v>
      </c>
      <c r="P54" s="153">
        <f t="shared" si="25"/>
        <v>1.2021501873269262</v>
      </c>
      <c r="Q54" s="153">
        <f t="shared" si="26"/>
        <v>3.426004666131615E-2</v>
      </c>
      <c r="R54" s="153">
        <f t="shared" si="27"/>
        <v>1.1072834645669289</v>
      </c>
    </row>
    <row r="55" spans="3:18" x14ac:dyDescent="0.25">
      <c r="C55" s="150">
        <v>49</v>
      </c>
      <c r="D55" s="5">
        <f t="shared" si="28"/>
        <v>14.879999999999999</v>
      </c>
      <c r="E55" s="386">
        <f t="shared" si="15"/>
        <v>20.32</v>
      </c>
      <c r="F55" s="191">
        <f t="shared" si="16"/>
        <v>0.57727272727272727</v>
      </c>
      <c r="G55" s="152">
        <f t="shared" si="17"/>
        <v>2.8990636363636364</v>
      </c>
      <c r="H55" s="191">
        <f t="shared" si="18"/>
        <v>0.14495318181818181</v>
      </c>
      <c r="I55" s="386">
        <f t="shared" si="19"/>
        <v>35.200000000000003</v>
      </c>
      <c r="J55" s="152">
        <f t="shared" si="20"/>
        <v>0.51740844222429183</v>
      </c>
      <c r="K55" s="152">
        <f t="shared" si="21"/>
        <v>5.215810909519071</v>
      </c>
      <c r="L55" s="152">
        <f t="shared" si="22"/>
        <v>3.8194520833486103</v>
      </c>
      <c r="M55" s="386">
        <f t="shared" si="14"/>
        <v>110.67746459504134</v>
      </c>
      <c r="N55" s="175">
        <f t="shared" si="23"/>
        <v>350</v>
      </c>
      <c r="O55" s="191">
        <f t="shared" si="24"/>
        <v>0.16361558441558444</v>
      </c>
      <c r="P55" s="153">
        <f t="shared" si="25"/>
        <v>1.2077922077922079</v>
      </c>
      <c r="Q55" s="153">
        <f t="shared" si="26"/>
        <v>3.4582384887839442E-2</v>
      </c>
      <c r="R55" s="153">
        <f t="shared" si="27"/>
        <v>1.1072834645669289</v>
      </c>
    </row>
    <row r="56" spans="3:18" x14ac:dyDescent="0.25">
      <c r="C56" s="150">
        <v>50</v>
      </c>
      <c r="D56" s="5">
        <f t="shared" si="28"/>
        <v>15</v>
      </c>
      <c r="E56" s="386">
        <f t="shared" si="15"/>
        <v>20.32</v>
      </c>
      <c r="F56" s="191">
        <f t="shared" si="16"/>
        <v>0.57531143827859565</v>
      </c>
      <c r="G56" s="152">
        <f t="shared" si="17"/>
        <v>2.9125141562853907</v>
      </c>
      <c r="H56" s="191">
        <f t="shared" si="18"/>
        <v>0.14562570781426953</v>
      </c>
      <c r="I56" s="386">
        <f t="shared" si="19"/>
        <v>35.32</v>
      </c>
      <c r="J56" s="152">
        <f t="shared" si="20"/>
        <v>0.51501895596383784</v>
      </c>
      <c r="K56" s="152">
        <f t="shared" si="21"/>
        <v>5.1501895596383775</v>
      </c>
      <c r="L56" s="152">
        <f t="shared" si="22"/>
        <v>3.8018131591818736</v>
      </c>
      <c r="M56" s="386">
        <f t="shared" si="14"/>
        <v>111.70684721728793</v>
      </c>
      <c r="N56" s="175">
        <f t="shared" si="23"/>
        <v>350</v>
      </c>
      <c r="O56" s="191">
        <f t="shared" si="24"/>
        <v>0.16437469665102739</v>
      </c>
      <c r="P56" s="153">
        <f t="shared" si="25"/>
        <v>1.2133958906325839</v>
      </c>
      <c r="Q56" s="153">
        <f t="shared" si="26"/>
        <v>3.4904026752058476E-2</v>
      </c>
      <c r="R56" s="153">
        <f t="shared" si="27"/>
        <v>1.1072834645669289</v>
      </c>
    </row>
    <row r="57" spans="3:18" x14ac:dyDescent="0.25">
      <c r="C57" s="150">
        <v>51</v>
      </c>
      <c r="D57" s="5">
        <f t="shared" si="28"/>
        <v>15.120000000000001</v>
      </c>
      <c r="E57" s="386">
        <f t="shared" si="15"/>
        <v>20.32</v>
      </c>
      <c r="F57" s="191">
        <f t="shared" si="16"/>
        <v>0.57336343115124155</v>
      </c>
      <c r="G57" s="152">
        <f t="shared" si="17"/>
        <v>2.9258735891647856</v>
      </c>
      <c r="H57" s="191">
        <f t="shared" si="18"/>
        <v>0.14629367945823929</v>
      </c>
      <c r="I57" s="386">
        <f t="shared" si="19"/>
        <v>35.44</v>
      </c>
      <c r="J57" s="152">
        <f t="shared" si="20"/>
        <v>0.51266739805672434</v>
      </c>
      <c r="K57" s="152">
        <f t="shared" si="21"/>
        <v>5.0859860918325825</v>
      </c>
      <c r="L57" s="152">
        <f t="shared" si="22"/>
        <v>3.7844542179384177</v>
      </c>
      <c r="M57" s="386">
        <f t="shared" si="14"/>
        <v>112.73397543732708</v>
      </c>
      <c r="N57" s="175">
        <f t="shared" si="23"/>
        <v>350</v>
      </c>
      <c r="O57" s="191">
        <f t="shared" si="24"/>
        <v>0.16512866817155758</v>
      </c>
      <c r="P57" s="153">
        <f t="shared" si="25"/>
        <v>1.2189616252821669</v>
      </c>
      <c r="Q57" s="153">
        <f t="shared" si="26"/>
        <v>3.5224964203639256E-2</v>
      </c>
      <c r="R57" s="153">
        <f t="shared" si="27"/>
        <v>1.1072834645669289</v>
      </c>
    </row>
    <row r="58" spans="3:18" x14ac:dyDescent="0.25">
      <c r="C58" s="150">
        <v>52</v>
      </c>
      <c r="D58" s="5">
        <f t="shared" si="28"/>
        <v>15.24</v>
      </c>
      <c r="E58" s="386">
        <f t="shared" si="15"/>
        <v>20.32</v>
      </c>
      <c r="F58" s="191">
        <f t="shared" si="16"/>
        <v>0.5714285714285714</v>
      </c>
      <c r="G58" s="152">
        <f t="shared" si="17"/>
        <v>2.9391428571428571</v>
      </c>
      <c r="H58" s="191">
        <f t="shared" si="18"/>
        <v>0.14695714285714284</v>
      </c>
      <c r="I58" s="386">
        <f t="shared" si="19"/>
        <v>35.56</v>
      </c>
      <c r="J58" s="152">
        <f t="shared" si="20"/>
        <v>0.51035287255759698</v>
      </c>
      <c r="K58" s="152">
        <f t="shared" si="21"/>
        <v>5.0231581944645356</v>
      </c>
      <c r="L58" s="152">
        <f t="shared" si="22"/>
        <v>3.7673686458484026</v>
      </c>
      <c r="M58" s="386">
        <f t="shared" si="14"/>
        <v>113.75882448979594</v>
      </c>
      <c r="N58" s="175">
        <f t="shared" si="23"/>
        <v>350</v>
      </c>
      <c r="O58" s="191">
        <f t="shared" si="24"/>
        <v>0.16587755102040819</v>
      </c>
      <c r="P58" s="153">
        <f t="shared" si="25"/>
        <v>1.2244897959183674</v>
      </c>
      <c r="Q58" s="153">
        <f t="shared" si="26"/>
        <v>3.5545189504373187E-2</v>
      </c>
      <c r="R58" s="153">
        <f t="shared" si="27"/>
        <v>1.1072834645669289</v>
      </c>
    </row>
    <row r="59" spans="3:18" x14ac:dyDescent="0.25">
      <c r="C59" s="150">
        <v>53</v>
      </c>
      <c r="D59" s="5">
        <f t="shared" si="28"/>
        <v>15.36</v>
      </c>
      <c r="E59" s="386">
        <f t="shared" si="15"/>
        <v>20.32</v>
      </c>
      <c r="F59" s="191">
        <f t="shared" si="16"/>
        <v>0.56950672645739908</v>
      </c>
      <c r="G59" s="152">
        <f t="shared" si="17"/>
        <v>2.9523228699551569</v>
      </c>
      <c r="H59" s="191">
        <f t="shared" si="18"/>
        <v>0.14761614349775784</v>
      </c>
      <c r="I59" s="386">
        <f t="shared" si="19"/>
        <v>35.68</v>
      </c>
      <c r="J59" s="152">
        <f t="shared" si="20"/>
        <v>0.50807451151939342</v>
      </c>
      <c r="K59" s="152">
        <f t="shared" si="21"/>
        <v>4.9616651515565762</v>
      </c>
      <c r="L59" s="152">
        <f t="shared" si="22"/>
        <v>3.7505500358222936</v>
      </c>
      <c r="M59" s="386">
        <f t="shared" si="14"/>
        <v>114.78137058054656</v>
      </c>
      <c r="N59" s="175">
        <f t="shared" si="23"/>
        <v>350</v>
      </c>
      <c r="O59" s="191">
        <f t="shared" si="24"/>
        <v>0.16662139654067906</v>
      </c>
      <c r="P59" s="153">
        <f t="shared" si="25"/>
        <v>1.2299807815502881</v>
      </c>
      <c r="Q59" s="153">
        <f t="shared" si="26"/>
        <v>3.5864695219518357E-2</v>
      </c>
      <c r="R59" s="153">
        <f t="shared" si="27"/>
        <v>1.1072834645669289</v>
      </c>
    </row>
    <row r="60" spans="3:18" x14ac:dyDescent="0.25">
      <c r="C60" s="150">
        <v>54</v>
      </c>
      <c r="D60" s="5">
        <f t="shared" si="28"/>
        <v>15.48</v>
      </c>
      <c r="E60" s="386">
        <f t="shared" si="15"/>
        <v>20.32</v>
      </c>
      <c r="F60" s="191">
        <f t="shared" si="16"/>
        <v>0.56759776536312856</v>
      </c>
      <c r="G60" s="152">
        <f t="shared" si="17"/>
        <v>2.9654145251396655</v>
      </c>
      <c r="H60" s="191">
        <f t="shared" si="18"/>
        <v>0.14827072625698329</v>
      </c>
      <c r="I60" s="386">
        <f t="shared" si="19"/>
        <v>35.799999999999997</v>
      </c>
      <c r="J60" s="152">
        <f t="shared" si="20"/>
        <v>0.50583147390813865</v>
      </c>
      <c r="K60" s="152">
        <f t="shared" si="21"/>
        <v>4.9014677704276997</v>
      </c>
      <c r="L60" s="152">
        <f t="shared" si="22"/>
        <v>3.7339921794399995</v>
      </c>
      <c r="M60" s="386">
        <f t="shared" si="14"/>
        <v>115.80159085971104</v>
      </c>
      <c r="N60" s="175">
        <f t="shared" si="23"/>
        <v>350</v>
      </c>
      <c r="O60" s="191">
        <f t="shared" si="24"/>
        <v>0.16736025538707108</v>
      </c>
      <c r="P60" s="153">
        <f t="shared" si="25"/>
        <v>1.2354349561053475</v>
      </c>
      <c r="Q60" s="153">
        <f t="shared" si="26"/>
        <v>3.6183474209383532E-2</v>
      </c>
      <c r="R60" s="153">
        <f t="shared" si="27"/>
        <v>1.1072834645669289</v>
      </c>
    </row>
    <row r="61" spans="3:18" x14ac:dyDescent="0.25">
      <c r="C61" s="150">
        <v>55</v>
      </c>
      <c r="D61" s="5">
        <f t="shared" si="28"/>
        <v>15.600000000000001</v>
      </c>
      <c r="E61" s="386">
        <f t="shared" si="15"/>
        <v>20.32</v>
      </c>
      <c r="F61" s="191">
        <f t="shared" si="16"/>
        <v>0.56570155902004449</v>
      </c>
      <c r="G61" s="152">
        <f t="shared" si="17"/>
        <v>2.9784187082405342</v>
      </c>
      <c r="H61" s="191">
        <f t="shared" si="18"/>
        <v>0.14892093541202672</v>
      </c>
      <c r="I61" s="386">
        <f t="shared" si="19"/>
        <v>35.92</v>
      </c>
      <c r="J61" s="152">
        <f t="shared" si="20"/>
        <v>0.50362294456782641</v>
      </c>
      <c r="K61" s="152">
        <f t="shared" si="21"/>
        <v>4.8425283131521759</v>
      </c>
      <c r="L61" s="152">
        <f t="shared" si="22"/>
        <v>3.717689059309742</v>
      </c>
      <c r="M61" s="386">
        <f t="shared" si="14"/>
        <v>116.81946339551891</v>
      </c>
      <c r="N61" s="175">
        <f t="shared" si="23"/>
        <v>350</v>
      </c>
      <c r="O61" s="191">
        <f t="shared" si="24"/>
        <v>0.1680941775373847</v>
      </c>
      <c r="P61" s="153">
        <f t="shared" si="25"/>
        <v>1.2408526885141584</v>
      </c>
      <c r="Q61" s="153">
        <f t="shared" si="26"/>
        <v>3.6501519621147012E-2</v>
      </c>
      <c r="R61" s="153">
        <f t="shared" si="27"/>
        <v>1.1072834645669289</v>
      </c>
    </row>
    <row r="62" spans="3:18" x14ac:dyDescent="0.25">
      <c r="C62" s="150">
        <v>56</v>
      </c>
      <c r="D62" s="5">
        <f t="shared" si="28"/>
        <v>15.72</v>
      </c>
      <c r="E62" s="386">
        <f t="shared" si="15"/>
        <v>20.32</v>
      </c>
      <c r="F62" s="191">
        <f t="shared" si="16"/>
        <v>0.56381798002219763</v>
      </c>
      <c r="G62" s="152">
        <f t="shared" si="17"/>
        <v>2.99133629300777</v>
      </c>
      <c r="H62" s="191">
        <f t="shared" si="18"/>
        <v>0.14956681465038851</v>
      </c>
      <c r="I62" s="386">
        <f t="shared" si="19"/>
        <v>36.04</v>
      </c>
      <c r="J62" s="152">
        <f t="shared" si="20"/>
        <v>0.50144813323270965</v>
      </c>
      <c r="K62" s="152">
        <f t="shared" si="21"/>
        <v>4.7848104316098246</v>
      </c>
      <c r="L62" s="152">
        <f t="shared" si="22"/>
        <v>3.7016348417768916</v>
      </c>
      <c r="M62" s="386">
        <f t="shared" si="14"/>
        <v>117.83496714884565</v>
      </c>
      <c r="N62" s="175">
        <f t="shared" si="23"/>
        <v>350</v>
      </c>
      <c r="O62" s="191">
        <f t="shared" si="24"/>
        <v>0.16882321230378949</v>
      </c>
      <c r="P62" s="153">
        <f t="shared" si="25"/>
        <v>1.2462343427937215</v>
      </c>
      <c r="Q62" s="153">
        <f t="shared" si="26"/>
        <v>3.6818824880904155E-2</v>
      </c>
      <c r="R62" s="153">
        <f t="shared" si="27"/>
        <v>1.1072834645669289</v>
      </c>
    </row>
    <row r="63" spans="3:18" x14ac:dyDescent="0.25">
      <c r="C63" s="150">
        <v>57</v>
      </c>
      <c r="D63" s="5">
        <f t="shared" si="28"/>
        <v>15.84</v>
      </c>
      <c r="E63" s="386">
        <f t="shared" si="15"/>
        <v>20.32</v>
      </c>
      <c r="F63" s="191">
        <f t="shared" si="16"/>
        <v>0.56194690265486735</v>
      </c>
      <c r="G63" s="152">
        <f t="shared" si="17"/>
        <v>3.0041681415929213</v>
      </c>
      <c r="H63" s="191">
        <f t="shared" si="18"/>
        <v>0.15020840707964606</v>
      </c>
      <c r="I63" s="386">
        <f t="shared" si="19"/>
        <v>36.159999999999997</v>
      </c>
      <c r="J63" s="152">
        <f t="shared" si="20"/>
        <v>0.4993062735844887</v>
      </c>
      <c r="K63" s="152">
        <f t="shared" si="21"/>
        <v>4.7282791059137192</v>
      </c>
      <c r="L63" s="152">
        <f t="shared" si="22"/>
        <v>3.6858238699642372</v>
      </c>
      <c r="M63" s="386">
        <f t="shared" si="14"/>
        <v>118.84808194846897</v>
      </c>
      <c r="N63" s="175">
        <f t="shared" si="23"/>
        <v>350</v>
      </c>
      <c r="O63" s="191">
        <f t="shared" si="24"/>
        <v>0.16954740834386856</v>
      </c>
      <c r="P63" s="153">
        <f t="shared" si="25"/>
        <v>1.2515802781289509</v>
      </c>
      <c r="Q63" s="153">
        <f t="shared" si="26"/>
        <v>3.7135383685935816E-2</v>
      </c>
      <c r="R63" s="153">
        <f t="shared" si="27"/>
        <v>1.1072834645669289</v>
      </c>
    </row>
    <row r="64" spans="3:18" x14ac:dyDescent="0.25">
      <c r="C64" s="150">
        <v>58</v>
      </c>
      <c r="D64" s="5">
        <f t="shared" si="28"/>
        <v>15.959999999999999</v>
      </c>
      <c r="E64" s="386">
        <f t="shared" si="15"/>
        <v>20.32</v>
      </c>
      <c r="F64" s="191">
        <f t="shared" si="16"/>
        <v>0.56008820286659311</v>
      </c>
      <c r="G64" s="152">
        <f t="shared" si="17"/>
        <v>3.016915104740904</v>
      </c>
      <c r="H64" s="191">
        <f t="shared" si="18"/>
        <v>0.15084575523704519</v>
      </c>
      <c r="I64" s="386">
        <f t="shared" si="19"/>
        <v>36.28</v>
      </c>
      <c r="J64" s="152">
        <f t="shared" si="20"/>
        <v>0.49719662235203066</v>
      </c>
      <c r="K64" s="152">
        <f t="shared" si="21"/>
        <v>4.6729005860153254</v>
      </c>
      <c r="L64" s="152">
        <f t="shared" si="22"/>
        <v>3.6702506571262101</v>
      </c>
      <c r="M64" s="386">
        <f t="shared" si="14"/>
        <v>119.85878846701326</v>
      </c>
      <c r="N64" s="175">
        <f t="shared" si="23"/>
        <v>350</v>
      </c>
      <c r="O64" s="191">
        <f t="shared" si="24"/>
        <v>0.17026681367144433</v>
      </c>
      <c r="P64" s="153">
        <f t="shared" si="25"/>
        <v>1.256890848952591</v>
      </c>
      <c r="Q64" s="153">
        <f t="shared" si="26"/>
        <v>3.7451189997191998E-2</v>
      </c>
      <c r="R64" s="153">
        <f t="shared" si="27"/>
        <v>1.1072834645669289</v>
      </c>
    </row>
    <row r="65" spans="3:18" x14ac:dyDescent="0.25">
      <c r="C65" s="150">
        <v>59</v>
      </c>
      <c r="D65" s="5">
        <f t="shared" si="28"/>
        <v>16.079999999999998</v>
      </c>
      <c r="E65" s="386">
        <f t="shared" si="15"/>
        <v>20.32</v>
      </c>
      <c r="F65" s="191">
        <f t="shared" si="16"/>
        <v>0.55824175824175826</v>
      </c>
      <c r="G65" s="152">
        <f t="shared" si="17"/>
        <v>3.029578021978022</v>
      </c>
      <c r="H65" s="191">
        <f t="shared" si="18"/>
        <v>0.15147890109890111</v>
      </c>
      <c r="I65" s="386">
        <f t="shared" si="19"/>
        <v>36.4</v>
      </c>
      <c r="J65" s="152">
        <f t="shared" si="20"/>
        <v>0.49511845845140007</v>
      </c>
      <c r="K65" s="152">
        <f t="shared" si="21"/>
        <v>4.6186423363003737</v>
      </c>
      <c r="L65" s="152">
        <f t="shared" si="22"/>
        <v>3.6549098803006888</v>
      </c>
      <c r="M65" s="386">
        <f t="shared" si="14"/>
        <v>120.86706819756068</v>
      </c>
      <c r="N65" s="175">
        <f t="shared" si="23"/>
        <v>350</v>
      </c>
      <c r="O65" s="191">
        <f t="shared" si="24"/>
        <v>0.17098147566718999</v>
      </c>
      <c r="P65" s="153">
        <f t="shared" si="25"/>
        <v>1.2621664050235479</v>
      </c>
      <c r="Q65" s="153">
        <f t="shared" si="26"/>
        <v>3.7766238031983729E-2</v>
      </c>
      <c r="R65" s="153">
        <f t="shared" si="27"/>
        <v>1.1072834645669289</v>
      </c>
    </row>
    <row r="66" spans="3:18" x14ac:dyDescent="0.25">
      <c r="C66" s="150">
        <v>60</v>
      </c>
      <c r="D66" s="5">
        <f t="shared" si="28"/>
        <v>16.2</v>
      </c>
      <c r="E66" s="386">
        <f t="shared" si="15"/>
        <v>20.32</v>
      </c>
      <c r="F66" s="191">
        <f t="shared" si="16"/>
        <v>0.55640744797371311</v>
      </c>
      <c r="G66" s="152">
        <f t="shared" si="17"/>
        <v>3.0421577217962761</v>
      </c>
      <c r="H66" s="191">
        <f t="shared" si="18"/>
        <v>0.15210788608981379</v>
      </c>
      <c r="I66" s="386">
        <f t="shared" si="19"/>
        <v>36.519999999999996</v>
      </c>
      <c r="J66" s="152">
        <f t="shared" si="20"/>
        <v>0.49307108216411211</v>
      </c>
      <c r="K66" s="152">
        <f t="shared" si="21"/>
        <v>4.5654729830010385</v>
      </c>
      <c r="L66" s="152">
        <f t="shared" si="22"/>
        <v>3.6397963742429531</v>
      </c>
      <c r="M66" s="386">
        <f t="shared" si="14"/>
        <v>121.87290343090976</v>
      </c>
      <c r="N66" s="175">
        <f t="shared" si="23"/>
        <v>350</v>
      </c>
      <c r="O66" s="191">
        <f t="shared" si="24"/>
        <v>0.1716914410890315</v>
      </c>
      <c r="P66" s="153">
        <f t="shared" si="25"/>
        <v>1.2674072915036774</v>
      </c>
      <c r="Q66" s="153">
        <f t="shared" si="26"/>
        <v>3.8080522256877206E-2</v>
      </c>
      <c r="R66" s="153">
        <f t="shared" si="27"/>
        <v>1.1072834645669289</v>
      </c>
    </row>
    <row r="67" spans="3:18" x14ac:dyDescent="0.25">
      <c r="C67" s="150">
        <v>61</v>
      </c>
      <c r="D67" s="5">
        <f t="shared" si="28"/>
        <v>16.32</v>
      </c>
      <c r="E67" s="386">
        <f t="shared" si="15"/>
        <v>20.32</v>
      </c>
      <c r="F67" s="191">
        <f t="shared" si="16"/>
        <v>0.55458515283842791</v>
      </c>
      <c r="G67" s="152">
        <f t="shared" si="17"/>
        <v>3.0546550218340611</v>
      </c>
      <c r="H67" s="191">
        <f t="shared" si="18"/>
        <v>0.15273275109170306</v>
      </c>
      <c r="I67" s="386">
        <f t="shared" si="19"/>
        <v>36.64</v>
      </c>
      <c r="J67" s="152">
        <f t="shared" si="20"/>
        <v>0.49105381435163747</v>
      </c>
      <c r="K67" s="152">
        <f t="shared" si="21"/>
        <v>4.5133622642613735</v>
      </c>
      <c r="L67" s="152">
        <f t="shared" si="22"/>
        <v>3.6249051256272451</v>
      </c>
      <c r="M67" s="386">
        <f t="shared" si="14"/>
        <v>122.87627723346236</v>
      </c>
      <c r="N67" s="175">
        <f t="shared" si="23"/>
        <v>350</v>
      </c>
      <c r="O67" s="191">
        <f t="shared" si="24"/>
        <v>0.17239675608234561</v>
      </c>
      <c r="P67" s="153">
        <f t="shared" si="25"/>
        <v>1.272613849033063</v>
      </c>
      <c r="Q67" s="153">
        <f t="shared" si="26"/>
        <v>3.8394037380784389E-2</v>
      </c>
      <c r="R67" s="153">
        <f t="shared" si="27"/>
        <v>1.1072834645669289</v>
      </c>
    </row>
    <row r="68" spans="3:18" x14ac:dyDescent="0.25">
      <c r="C68" s="150">
        <v>62</v>
      </c>
      <c r="D68" s="5">
        <f t="shared" si="28"/>
        <v>16.439999999999998</v>
      </c>
      <c r="E68" s="386">
        <f t="shared" si="15"/>
        <v>20.32</v>
      </c>
      <c r="F68" s="191">
        <f t="shared" si="16"/>
        <v>0.55277475516866159</v>
      </c>
      <c r="G68" s="152">
        <f t="shared" si="17"/>
        <v>3.0670707290533179</v>
      </c>
      <c r="H68" s="191">
        <f t="shared" si="18"/>
        <v>0.15335353645266589</v>
      </c>
      <c r="I68" s="386">
        <f t="shared" si="19"/>
        <v>36.76</v>
      </c>
      <c r="J68" s="152">
        <f t="shared" si="20"/>
        <v>0.48906599570430836</v>
      </c>
      <c r="K68" s="152">
        <f t="shared" si="21"/>
        <v>4.4622809827035432</v>
      </c>
      <c r="L68" s="152">
        <f t="shared" si="22"/>
        <v>3.6102312675022761</v>
      </c>
      <c r="M68" s="386">
        <f t="shared" si="14"/>
        <v>123.87717342572057</v>
      </c>
      <c r="N68" s="175">
        <f t="shared" si="23"/>
        <v>350</v>
      </c>
      <c r="O68" s="191">
        <f t="shared" si="24"/>
        <v>0.17309746618995805</v>
      </c>
      <c r="P68" s="153">
        <f t="shared" si="25"/>
        <v>1.2777864138038242</v>
      </c>
      <c r="Q68" s="153">
        <f t="shared" si="26"/>
        <v>3.8706778348244167E-2</v>
      </c>
      <c r="R68" s="153">
        <f t="shared" si="27"/>
        <v>1.1072834645669289</v>
      </c>
    </row>
    <row r="69" spans="3:18" x14ac:dyDescent="0.25">
      <c r="C69" s="150">
        <v>63</v>
      </c>
      <c r="D69" s="5">
        <f t="shared" si="28"/>
        <v>16.560000000000002</v>
      </c>
      <c r="E69" s="386">
        <f t="shared" si="15"/>
        <v>20.32</v>
      </c>
      <c r="F69" s="191">
        <f t="shared" si="16"/>
        <v>0.55097613882863339</v>
      </c>
      <c r="G69" s="152">
        <f t="shared" si="17"/>
        <v>3.0794056399132321</v>
      </c>
      <c r="H69" s="191">
        <f t="shared" si="18"/>
        <v>0.1539702819956616</v>
      </c>
      <c r="I69" s="386">
        <f t="shared" si="19"/>
        <v>36.880000000000003</v>
      </c>
      <c r="J69" s="152">
        <f t="shared" si="20"/>
        <v>0.48710698602288238</v>
      </c>
      <c r="K69" s="152">
        <f t="shared" si="21"/>
        <v>4.4122009603521946</v>
      </c>
      <c r="L69" s="152">
        <f t="shared" si="22"/>
        <v>3.5957700739878127</v>
      </c>
      <c r="M69" s="386">
        <f t="shared" si="14"/>
        <v>124.87557656137513</v>
      </c>
      <c r="N69" s="175">
        <f t="shared" si="23"/>
        <v>350</v>
      </c>
      <c r="O69" s="191">
        <f t="shared" si="24"/>
        <v>0.17379361636194612</v>
      </c>
      <c r="P69" s="153">
        <f t="shared" si="25"/>
        <v>1.2829253176324762</v>
      </c>
      <c r="Q69" s="153">
        <f t="shared" si="26"/>
        <v>3.901874033288813E-2</v>
      </c>
      <c r="R69" s="153">
        <f t="shared" si="27"/>
        <v>1.1072834645669289</v>
      </c>
    </row>
    <row r="70" spans="3:18" x14ac:dyDescent="0.25">
      <c r="C70" s="150">
        <v>64</v>
      </c>
      <c r="D70" s="5">
        <f t="shared" si="28"/>
        <v>16.68</v>
      </c>
      <c r="E70" s="386">
        <f t="shared" ref="E70:E106" si="29">(Vout+Vfwd1)*Nps</f>
        <v>20.32</v>
      </c>
      <c r="F70" s="191">
        <f t="shared" ref="F70:F106" si="30">(Vout+Vfwd1)*Nps/((Vout+Vfwd1)*Nps+D70)</f>
        <v>0.54918918918918924</v>
      </c>
      <c r="G70" s="152">
        <f t="shared" ref="G70:G101" si="31">F70*D70*Isw_max*0.5*Efficiency</f>
        <v>3.0916605405405413</v>
      </c>
      <c r="H70" s="191">
        <f t="shared" ref="H70:H101" si="32">G70/Vout</f>
        <v>0.15458302702702706</v>
      </c>
      <c r="I70" s="386">
        <f t="shared" ref="I70:I106" si="33">(Vout+Vfwd1)*Nps+D70</f>
        <v>37</v>
      </c>
      <c r="J70" s="152">
        <f t="shared" ref="J70:J106" si="34">MIN(2*Vout*Iout/(Efficiency*D70*F70), 1.35)</f>
        <v>0.48517616353111737</v>
      </c>
      <c r="K70" s="152">
        <f t="shared" ref="K70:K101" si="35">L*J70/D70*1000000</f>
        <v>4.3630949957834293</v>
      </c>
      <c r="L70" s="152">
        <f t="shared" ref="L70:L106" si="36">L*J70/((Vout+Vfwd1)*Nps)*1000000</f>
        <v>3.5815169552001773</v>
      </c>
      <c r="M70" s="386">
        <f t="shared" si="14"/>
        <v>125.87147190696859</v>
      </c>
      <c r="N70" s="175">
        <f t="shared" ref="N70:N106" si="37">IF(1/((350000*L)*(1/D70+1/E70))&gt;Isw_min, 350, 0.001/((Isw_min*L)*(1/D70+1/E70)))</f>
        <v>350</v>
      </c>
      <c r="O70" s="191">
        <f t="shared" ref="O70:O101" si="38">1/((N70*1000*L)*(1/D70+1/E70))</f>
        <v>0.174485250965251</v>
      </c>
      <c r="P70" s="153">
        <f t="shared" ref="P70:P101" si="39">L*O70/E70*1000000</f>
        <v>1.2880308880308882</v>
      </c>
      <c r="Q70" s="153">
        <f t="shared" ref="Q70:Q101" si="40">0.5*P70*O70*Nps*N70/1000</f>
        <v>3.9329918731086308E-2</v>
      </c>
      <c r="R70" s="153">
        <f t="shared" ref="R70:R106" si="41">L*Isw_min/E70*1000000</f>
        <v>1.1072834645669289</v>
      </c>
    </row>
    <row r="71" spans="3:18" x14ac:dyDescent="0.25">
      <c r="C71" s="150">
        <v>65</v>
      </c>
      <c r="D71" s="5">
        <f t="shared" ref="D71:D102" si="42">C71/100*(VIN_max-VIN_min)+VIN_min</f>
        <v>16.8</v>
      </c>
      <c r="E71" s="386">
        <f t="shared" si="29"/>
        <v>20.32</v>
      </c>
      <c r="F71" s="191">
        <f t="shared" si="30"/>
        <v>0.54741379310344818</v>
      </c>
      <c r="G71" s="152">
        <f t="shared" si="31"/>
        <v>3.1038362068965513</v>
      </c>
      <c r="H71" s="191">
        <f t="shared" si="32"/>
        <v>0.15519181034482757</v>
      </c>
      <c r="I71" s="386">
        <f t="shared" si="33"/>
        <v>37.120000000000005</v>
      </c>
      <c r="J71" s="152">
        <f t="shared" si="34"/>
        <v>0.48327292421780615</v>
      </c>
      <c r="K71" s="152">
        <f t="shared" si="35"/>
        <v>4.3149368233732686</v>
      </c>
      <c r="L71" s="152">
        <f t="shared" si="36"/>
        <v>3.5674674523952219</v>
      </c>
      <c r="M71" s="386">
        <f t="shared" ref="M71:M106" si="43">MIN(1/(K71+L71)*1000, 350)</f>
        <v>126.86484542211655</v>
      </c>
      <c r="N71" s="175">
        <f t="shared" si="37"/>
        <v>350</v>
      </c>
      <c r="O71" s="191">
        <f t="shared" si="38"/>
        <v>0.1751724137931035</v>
      </c>
      <c r="P71" s="153">
        <f t="shared" si="39"/>
        <v>1.2931034482758623</v>
      </c>
      <c r="Q71" s="153">
        <f t="shared" si="40"/>
        <v>3.9640309155766967E-2</v>
      </c>
      <c r="R71" s="153">
        <f t="shared" si="41"/>
        <v>1.1072834645669289</v>
      </c>
    </row>
    <row r="72" spans="3:18" x14ac:dyDescent="0.25">
      <c r="C72" s="150">
        <v>66</v>
      </c>
      <c r="D72" s="5">
        <f t="shared" si="42"/>
        <v>16.920000000000002</v>
      </c>
      <c r="E72" s="386">
        <f t="shared" si="29"/>
        <v>20.32</v>
      </c>
      <c r="F72" s="191">
        <f t="shared" si="30"/>
        <v>0.54564983888292162</v>
      </c>
      <c r="G72" s="152">
        <f t="shared" si="31"/>
        <v>3.1159334049409244</v>
      </c>
      <c r="H72" s="191">
        <f t="shared" si="32"/>
        <v>0.15579667024704622</v>
      </c>
      <c r="I72" s="386">
        <f t="shared" si="33"/>
        <v>37.24</v>
      </c>
      <c r="J72" s="152">
        <f t="shared" si="34"/>
        <v>0.48139668120681128</v>
      </c>
      <c r="K72" s="152">
        <f t="shared" si="35"/>
        <v>4.2677010745284685</v>
      </c>
      <c r="L72" s="152">
        <f t="shared" si="36"/>
        <v>3.5536172333179965</v>
      </c>
      <c r="M72" s="386">
        <f t="shared" si="43"/>
        <v>127.85568374026984</v>
      </c>
      <c r="N72" s="175">
        <f t="shared" si="37"/>
        <v>350</v>
      </c>
      <c r="O72" s="191">
        <f t="shared" si="38"/>
        <v>0.17585514807426733</v>
      </c>
      <c r="P72" s="153">
        <f t="shared" si="39"/>
        <v>1.2981433174773671</v>
      </c>
      <c r="Q72" s="153">
        <f t="shared" si="40"/>
        <v>3.994990743040553E-2</v>
      </c>
      <c r="R72" s="153">
        <f t="shared" si="41"/>
        <v>1.1072834645669289</v>
      </c>
    </row>
    <row r="73" spans="3:18" x14ac:dyDescent="0.25">
      <c r="C73" s="150">
        <v>67</v>
      </c>
      <c r="D73" s="5">
        <f t="shared" si="42"/>
        <v>17.04</v>
      </c>
      <c r="E73" s="386">
        <f t="shared" si="29"/>
        <v>20.32</v>
      </c>
      <c r="F73" s="191">
        <f t="shared" si="30"/>
        <v>0.54389721627408993</v>
      </c>
      <c r="G73" s="152">
        <f t="shared" si="31"/>
        <v>3.1279528907922911</v>
      </c>
      <c r="H73" s="191">
        <f t="shared" si="32"/>
        <v>0.15639764453961455</v>
      </c>
      <c r="I73" s="386">
        <f t="shared" si="33"/>
        <v>37.36</v>
      </c>
      <c r="J73" s="152">
        <f t="shared" si="34"/>
        <v>0.47954686415371789</v>
      </c>
      <c r="K73" s="152">
        <f t="shared" si="35"/>
        <v>4.2213632407897697</v>
      </c>
      <c r="L73" s="152">
        <f t="shared" si="36"/>
        <v>3.5399620877489011</v>
      </c>
      <c r="M73" s="386">
        <f t="shared" si="43"/>
        <v>128.84397415000299</v>
      </c>
      <c r="N73" s="175">
        <f t="shared" si="37"/>
        <v>350</v>
      </c>
      <c r="O73" s="191">
        <f t="shared" si="38"/>
        <v>0.17653349648210465</v>
      </c>
      <c r="P73" s="153">
        <f t="shared" si="39"/>
        <v>1.3031508106454575</v>
      </c>
      <c r="Q73" s="153">
        <f t="shared" si="40"/>
        <v>4.0258709583178044E-2</v>
      </c>
      <c r="R73" s="153">
        <f t="shared" si="41"/>
        <v>1.1072834645669289</v>
      </c>
    </row>
    <row r="74" spans="3:18" x14ac:dyDescent="0.25">
      <c r="C74" s="150">
        <v>68</v>
      </c>
      <c r="D74" s="5">
        <f t="shared" si="42"/>
        <v>17.16</v>
      </c>
      <c r="E74" s="386">
        <f t="shared" si="29"/>
        <v>20.32</v>
      </c>
      <c r="F74" s="191">
        <f t="shared" si="30"/>
        <v>0.5421558164354322</v>
      </c>
      <c r="G74" s="152">
        <f t="shared" si="31"/>
        <v>3.1398954108858055</v>
      </c>
      <c r="H74" s="191">
        <f t="shared" si="32"/>
        <v>0.15699477054429029</v>
      </c>
      <c r="I74" s="386">
        <f t="shared" si="33"/>
        <v>37.480000000000004</v>
      </c>
      <c r="J74" s="152">
        <f t="shared" si="34"/>
        <v>0.47772291866780053</v>
      </c>
      <c r="K74" s="152">
        <f t="shared" si="35"/>
        <v>4.1758996387045491</v>
      </c>
      <c r="L74" s="152">
        <f t="shared" si="36"/>
        <v>3.526497923236716</v>
      </c>
      <c r="M74" s="386">
        <f t="shared" si="43"/>
        <v>129.82970457681313</v>
      </c>
      <c r="N74" s="175">
        <f t="shared" si="37"/>
        <v>350</v>
      </c>
      <c r="O74" s="191">
        <f t="shared" si="38"/>
        <v>0.17720750114346703</v>
      </c>
      <c r="P74" s="153">
        <f t="shared" si="39"/>
        <v>1.3081262387559081</v>
      </c>
      <c r="Q74" s="153">
        <f t="shared" si="40"/>
        <v>4.0566711841273945E-2</v>
      </c>
      <c r="R74" s="153">
        <f t="shared" si="41"/>
        <v>1.1072834645669289</v>
      </c>
    </row>
    <row r="75" spans="3:18" x14ac:dyDescent="0.25">
      <c r="C75" s="150">
        <v>69</v>
      </c>
      <c r="D75" s="5">
        <f t="shared" si="42"/>
        <v>17.28</v>
      </c>
      <c r="E75" s="386">
        <f t="shared" si="29"/>
        <v>20.32</v>
      </c>
      <c r="F75" s="191">
        <f t="shared" si="30"/>
        <v>0.54042553191489362</v>
      </c>
      <c r="G75" s="152">
        <f t="shared" si="31"/>
        <v>3.15176170212766</v>
      </c>
      <c r="H75" s="191">
        <f t="shared" si="32"/>
        <v>0.157588085106383</v>
      </c>
      <c r="I75" s="386">
        <f t="shared" si="33"/>
        <v>37.6</v>
      </c>
      <c r="J75" s="152">
        <f t="shared" si="34"/>
        <v>0.47592430575807648</v>
      </c>
      <c r="K75" s="152">
        <f t="shared" si="35"/>
        <v>4.1312873763721907</v>
      </c>
      <c r="L75" s="152">
        <f t="shared" si="36"/>
        <v>3.5132207610094226</v>
      </c>
      <c r="M75" s="386">
        <f t="shared" si="43"/>
        <v>130.81286356541423</v>
      </c>
      <c r="N75" s="175">
        <f t="shared" si="37"/>
        <v>350</v>
      </c>
      <c r="O75" s="191">
        <f t="shared" si="38"/>
        <v>0.17787720364741644</v>
      </c>
      <c r="P75" s="153">
        <f t="shared" si="39"/>
        <v>1.3130699088145898</v>
      </c>
      <c r="Q75" s="153">
        <f t="shared" si="40"/>
        <v>4.0873910625363781E-2</v>
      </c>
      <c r="R75" s="153">
        <f t="shared" si="41"/>
        <v>1.1072834645669289</v>
      </c>
    </row>
    <row r="76" spans="3:18" x14ac:dyDescent="0.25">
      <c r="C76" s="150">
        <v>70</v>
      </c>
      <c r="D76" s="5">
        <f t="shared" si="42"/>
        <v>17.399999999999999</v>
      </c>
      <c r="E76" s="386">
        <f t="shared" si="29"/>
        <v>20.32</v>
      </c>
      <c r="F76" s="191">
        <f t="shared" si="30"/>
        <v>0.53870625662778371</v>
      </c>
      <c r="G76" s="152">
        <f t="shared" si="31"/>
        <v>3.1635524920466596</v>
      </c>
      <c r="H76" s="191">
        <f t="shared" si="32"/>
        <v>0.15817762460233298</v>
      </c>
      <c r="I76" s="386">
        <f t="shared" si="33"/>
        <v>37.72</v>
      </c>
      <c r="J76" s="152">
        <f t="shared" si="34"/>
        <v>0.47415050130227976</v>
      </c>
      <c r="K76" s="152">
        <f t="shared" si="35"/>
        <v>4.0875043215713776</v>
      </c>
      <c r="L76" s="152">
        <f t="shared" si="36"/>
        <v>3.50012673205423</v>
      </c>
      <c r="M76" s="386">
        <f t="shared" si="43"/>
        <v>131.79344026251366</v>
      </c>
      <c r="N76" s="175">
        <f t="shared" si="37"/>
        <v>350</v>
      </c>
      <c r="O76" s="191">
        <f t="shared" si="38"/>
        <v>0.17854264505377973</v>
      </c>
      <c r="P76" s="153">
        <f t="shared" si="39"/>
        <v>1.3179821239206178</v>
      </c>
      <c r="Q76" s="153">
        <f t="shared" si="40"/>
        <v>4.1180302544217479E-2</v>
      </c>
      <c r="R76" s="153">
        <f t="shared" si="41"/>
        <v>1.1072834645669289</v>
      </c>
    </row>
    <row r="77" spans="3:18" x14ac:dyDescent="0.25">
      <c r="C77" s="150">
        <v>71</v>
      </c>
      <c r="D77" s="5">
        <f t="shared" si="42"/>
        <v>17.52</v>
      </c>
      <c r="E77" s="386">
        <f t="shared" si="29"/>
        <v>20.32</v>
      </c>
      <c r="F77" s="191">
        <f t="shared" si="30"/>
        <v>0.53699788583509511</v>
      </c>
      <c r="G77" s="152">
        <f t="shared" si="31"/>
        <v>3.1752684989429176</v>
      </c>
      <c r="H77" s="191">
        <f t="shared" si="32"/>
        <v>0.15876342494714588</v>
      </c>
      <c r="I77" s="386">
        <f t="shared" si="33"/>
        <v>37.840000000000003</v>
      </c>
      <c r="J77" s="152">
        <f t="shared" si="34"/>
        <v>0.47240099553765819</v>
      </c>
      <c r="K77" s="152">
        <f t="shared" si="35"/>
        <v>4.0445290713840603</v>
      </c>
      <c r="L77" s="152">
        <f t="shared" si="36"/>
        <v>3.4872120733586973</v>
      </c>
      <c r="M77" s="386">
        <f t="shared" si="43"/>
        <v>132.77142440005542</v>
      </c>
      <c r="N77" s="175">
        <f t="shared" si="37"/>
        <v>350</v>
      </c>
      <c r="O77" s="191">
        <f t="shared" si="38"/>
        <v>0.17920386590154036</v>
      </c>
      <c r="P77" s="153">
        <f t="shared" si="39"/>
        <v>1.3228631833282996</v>
      </c>
      <c r="Q77" s="153">
        <f t="shared" si="40"/>
        <v>4.1485884389468645E-2</v>
      </c>
      <c r="R77" s="153">
        <f t="shared" si="41"/>
        <v>1.1072834645669289</v>
      </c>
    </row>
    <row r="78" spans="3:18" x14ac:dyDescent="0.25">
      <c r="C78" s="150">
        <v>72</v>
      </c>
      <c r="D78" s="5">
        <f t="shared" si="42"/>
        <v>17.64</v>
      </c>
      <c r="E78" s="386">
        <f t="shared" si="29"/>
        <v>20.32</v>
      </c>
      <c r="F78" s="191">
        <f t="shared" si="30"/>
        <v>0.53530031612223394</v>
      </c>
      <c r="G78" s="152">
        <f t="shared" si="31"/>
        <v>3.1869104320337196</v>
      </c>
      <c r="H78" s="191">
        <f t="shared" si="32"/>
        <v>0.15934552160168597</v>
      </c>
      <c r="I78" s="386">
        <f t="shared" si="33"/>
        <v>37.96</v>
      </c>
      <c r="J78" s="152">
        <f t="shared" si="34"/>
        <v>0.47067529257255536</v>
      </c>
      <c r="K78" s="152">
        <f t="shared" si="35"/>
        <v>4.0023409232360141</v>
      </c>
      <c r="L78" s="152">
        <f t="shared" si="36"/>
        <v>3.47447312430528</v>
      </c>
      <c r="M78" s="386">
        <f t="shared" si="43"/>
        <v>133.74680627891823</v>
      </c>
      <c r="N78" s="175">
        <f t="shared" si="37"/>
        <v>350</v>
      </c>
      <c r="O78" s="191">
        <f t="shared" si="38"/>
        <v>0.17986090621707063</v>
      </c>
      <c r="P78" s="153">
        <f t="shared" si="39"/>
        <v>1.3277133825079031</v>
      </c>
      <c r="Q78" s="153">
        <f t="shared" si="40"/>
        <v>4.1790653130520626E-2</v>
      </c>
      <c r="R78" s="153">
        <f t="shared" si="41"/>
        <v>1.1072834645669289</v>
      </c>
    </row>
    <row r="79" spans="3:18" x14ac:dyDescent="0.25">
      <c r="C79" s="150">
        <v>73</v>
      </c>
      <c r="D79" s="5">
        <f t="shared" si="42"/>
        <v>17.759999999999998</v>
      </c>
      <c r="E79" s="386">
        <f t="shared" si="29"/>
        <v>20.32</v>
      </c>
      <c r="F79" s="191">
        <f t="shared" si="30"/>
        <v>0.53361344537815125</v>
      </c>
      <c r="G79" s="152">
        <f t="shared" si="31"/>
        <v>3.1984789915966387</v>
      </c>
      <c r="H79" s="191">
        <f t="shared" si="32"/>
        <v>0.15992394957983194</v>
      </c>
      <c r="I79" s="386">
        <f t="shared" si="33"/>
        <v>38.08</v>
      </c>
      <c r="J79" s="152">
        <f t="shared" si="34"/>
        <v>0.46897290991779184</v>
      </c>
      <c r="K79" s="152">
        <f t="shared" si="35"/>
        <v>3.9609198472786478</v>
      </c>
      <c r="L79" s="152">
        <f t="shared" si="36"/>
        <v>3.4619063232120459</v>
      </c>
      <c r="M79" s="386">
        <f t="shared" si="43"/>
        <v>134.71957675305413</v>
      </c>
      <c r="N79" s="175">
        <f t="shared" si="37"/>
        <v>350</v>
      </c>
      <c r="O79" s="191">
        <f t="shared" si="38"/>
        <v>0.18051380552220891</v>
      </c>
      <c r="P79" s="153">
        <f t="shared" si="39"/>
        <v>1.3325330132052822</v>
      </c>
      <c r="Q79" s="153">
        <f t="shared" si="40"/>
        <v>4.2094605909590736E-2</v>
      </c>
      <c r="R79" s="153">
        <f t="shared" si="41"/>
        <v>1.1072834645669289</v>
      </c>
    </row>
    <row r="80" spans="3:18" x14ac:dyDescent="0.25">
      <c r="C80" s="150">
        <v>74</v>
      </c>
      <c r="D80" s="5">
        <f t="shared" si="42"/>
        <v>17.88</v>
      </c>
      <c r="E80" s="386">
        <f t="shared" si="29"/>
        <v>20.32</v>
      </c>
      <c r="F80" s="191">
        <f t="shared" si="30"/>
        <v>0.53193717277486907</v>
      </c>
      <c r="G80" s="152">
        <f t="shared" si="31"/>
        <v>3.209974869109947</v>
      </c>
      <c r="H80" s="191">
        <f t="shared" si="32"/>
        <v>0.16049874345549736</v>
      </c>
      <c r="I80" s="386">
        <f t="shared" si="33"/>
        <v>38.200000000000003</v>
      </c>
      <c r="J80" s="152">
        <f t="shared" si="34"/>
        <v>0.46729337803691773</v>
      </c>
      <c r="K80" s="152">
        <f t="shared" si="35"/>
        <v>3.9202464600412563</v>
      </c>
      <c r="L80" s="152">
        <f t="shared" si="36"/>
        <v>3.4495082040126794</v>
      </c>
      <c r="M80" s="386">
        <f t="shared" si="43"/>
        <v>135.6897272140566</v>
      </c>
      <c r="N80" s="175">
        <f t="shared" si="37"/>
        <v>350</v>
      </c>
      <c r="O80" s="191">
        <f t="shared" si="38"/>
        <v>0.181162602842184</v>
      </c>
      <c r="P80" s="153">
        <f t="shared" si="39"/>
        <v>1.3373223635003739</v>
      </c>
      <c r="Q80" s="153">
        <f t="shared" si="40"/>
        <v>4.2397740036888086E-2</v>
      </c>
      <c r="R80" s="153">
        <f t="shared" si="41"/>
        <v>1.1072834645669289</v>
      </c>
    </row>
    <row r="81" spans="3:18" x14ac:dyDescent="0.25">
      <c r="C81" s="150">
        <v>75</v>
      </c>
      <c r="D81" s="5">
        <f t="shared" si="42"/>
        <v>18</v>
      </c>
      <c r="E81" s="386">
        <f t="shared" si="29"/>
        <v>20.32</v>
      </c>
      <c r="F81" s="191">
        <f t="shared" si="30"/>
        <v>0.53027139874739038</v>
      </c>
      <c r="G81" s="152">
        <f t="shared" si="31"/>
        <v>3.2213987473903969</v>
      </c>
      <c r="H81" s="191">
        <f t="shared" si="32"/>
        <v>0.16106993736951986</v>
      </c>
      <c r="I81" s="386">
        <f t="shared" si="33"/>
        <v>38.32</v>
      </c>
      <c r="J81" s="152">
        <f t="shared" si="34"/>
        <v>0.46563623991445519</v>
      </c>
      <c r="K81" s="152">
        <f t="shared" si="35"/>
        <v>3.8803019992871266</v>
      </c>
      <c r="L81" s="152">
        <f t="shared" si="36"/>
        <v>3.4372753930693047</v>
      </c>
      <c r="M81" s="386">
        <f t="shared" si="43"/>
        <v>136.65724957614376</v>
      </c>
      <c r="N81" s="175">
        <f t="shared" si="37"/>
        <v>350</v>
      </c>
      <c r="O81" s="191">
        <f t="shared" si="38"/>
        <v>0.18180733671339103</v>
      </c>
      <c r="P81" s="153">
        <f t="shared" si="39"/>
        <v>1.342081717864599</v>
      </c>
      <c r="Q81" s="153">
        <f t="shared" si="40"/>
        <v>4.2700052985921694E-2</v>
      </c>
      <c r="R81" s="153">
        <f t="shared" si="41"/>
        <v>1.1072834645669289</v>
      </c>
    </row>
    <row r="82" spans="3:18" x14ac:dyDescent="0.25">
      <c r="C82" s="150">
        <v>76</v>
      </c>
      <c r="D82" s="5">
        <f t="shared" si="42"/>
        <v>18.12</v>
      </c>
      <c r="E82" s="386">
        <f t="shared" si="29"/>
        <v>20.32</v>
      </c>
      <c r="F82" s="191">
        <f t="shared" si="30"/>
        <v>0.52861602497398552</v>
      </c>
      <c r="G82" s="152">
        <f t="shared" si="31"/>
        <v>3.2327513007284092</v>
      </c>
      <c r="H82" s="191">
        <f t="shared" si="32"/>
        <v>0.16163756503642046</v>
      </c>
      <c r="I82" s="386">
        <f t="shared" si="33"/>
        <v>38.44</v>
      </c>
      <c r="J82" s="152">
        <f t="shared" si="34"/>
        <v>0.46400105064129671</v>
      </c>
      <c r="K82" s="152">
        <f t="shared" si="35"/>
        <v>3.841068300010734</v>
      </c>
      <c r="L82" s="152">
        <f t="shared" si="36"/>
        <v>3.4252046061119339</v>
      </c>
      <c r="M82" s="386">
        <f t="shared" si="43"/>
        <v>137.62213626154687</v>
      </c>
      <c r="N82" s="175">
        <f t="shared" si="37"/>
        <v>350</v>
      </c>
      <c r="O82" s="191">
        <f t="shared" si="38"/>
        <v>0.18244804519102129</v>
      </c>
      <c r="P82" s="153">
        <f t="shared" si="39"/>
        <v>1.3468113572171845</v>
      </c>
      <c r="Q82" s="153">
        <f t="shared" si="40"/>
        <v>4.3001542388934777E-2</v>
      </c>
      <c r="R82" s="153">
        <f t="shared" si="41"/>
        <v>1.1072834645669289</v>
      </c>
    </row>
    <row r="83" spans="3:18" x14ac:dyDescent="0.25">
      <c r="C83" s="150">
        <v>77</v>
      </c>
      <c r="D83" s="5">
        <f t="shared" si="42"/>
        <v>18.240000000000002</v>
      </c>
      <c r="E83" s="386">
        <f t="shared" si="29"/>
        <v>20.32</v>
      </c>
      <c r="F83" s="191">
        <f t="shared" si="30"/>
        <v>0.52697095435684649</v>
      </c>
      <c r="G83" s="152">
        <f t="shared" si="31"/>
        <v>3.2440331950207479</v>
      </c>
      <c r="H83" s="191">
        <f t="shared" si="32"/>
        <v>0.1622016597510374</v>
      </c>
      <c r="I83" s="386">
        <f t="shared" si="33"/>
        <v>38.56</v>
      </c>
      <c r="J83" s="152">
        <f t="shared" si="34"/>
        <v>0.46238737701646926</v>
      </c>
      <c r="K83" s="152">
        <f t="shared" si="35"/>
        <v>3.8025277715170165</v>
      </c>
      <c r="L83" s="152">
        <f t="shared" si="36"/>
        <v>3.4132926452987395</v>
      </c>
      <c r="M83" s="386">
        <f t="shared" si="43"/>
        <v>138.58438018629164</v>
      </c>
      <c r="N83" s="175">
        <f t="shared" si="37"/>
        <v>350</v>
      </c>
      <c r="O83" s="191">
        <f t="shared" si="38"/>
        <v>0.18308476585655012</v>
      </c>
      <c r="P83" s="153">
        <f t="shared" si="39"/>
        <v>1.3515115589804387</v>
      </c>
      <c r="Q83" s="153">
        <f t="shared" si="40"/>
        <v>4.3302206032462064E-2</v>
      </c>
      <c r="R83" s="153">
        <f t="shared" si="41"/>
        <v>1.1072834645669289</v>
      </c>
    </row>
    <row r="84" spans="3:18" x14ac:dyDescent="0.25">
      <c r="C84" s="150">
        <v>78</v>
      </c>
      <c r="D84" s="5">
        <f t="shared" si="42"/>
        <v>18.36</v>
      </c>
      <c r="E84" s="386">
        <f t="shared" si="29"/>
        <v>20.32</v>
      </c>
      <c r="F84" s="191">
        <f t="shared" si="30"/>
        <v>0.52533609100310241</v>
      </c>
      <c r="G84" s="152">
        <f t="shared" si="31"/>
        <v>3.255245087900724</v>
      </c>
      <c r="H84" s="191">
        <f t="shared" si="32"/>
        <v>0.16276225439503619</v>
      </c>
      <c r="I84" s="386">
        <f t="shared" si="33"/>
        <v>38.68</v>
      </c>
      <c r="J84" s="152">
        <f t="shared" si="34"/>
        <v>0.4607947971645156</v>
      </c>
      <c r="K84" s="152">
        <f t="shared" si="35"/>
        <v>3.7646633755270877</v>
      </c>
      <c r="L84" s="152">
        <f t="shared" si="36"/>
        <v>3.401536396391601</v>
      </c>
      <c r="M84" s="386">
        <f t="shared" si="43"/>
        <v>139.54397474636107</v>
      </c>
      <c r="N84" s="175">
        <f t="shared" si="37"/>
        <v>350</v>
      </c>
      <c r="O84" s="191">
        <f t="shared" si="38"/>
        <v>0.18371753582508496</v>
      </c>
      <c r="P84" s="153">
        <f t="shared" si="39"/>
        <v>1.3561825971339931</v>
      </c>
      <c r="Q84" s="153">
        <f t="shared" si="40"/>
        <v>4.3602041853006208E-2</v>
      </c>
      <c r="R84" s="153">
        <f t="shared" si="41"/>
        <v>1.1072834645669289</v>
      </c>
    </row>
    <row r="85" spans="3:18" x14ac:dyDescent="0.25">
      <c r="C85" s="150">
        <v>79</v>
      </c>
      <c r="D85" s="5">
        <f t="shared" si="42"/>
        <v>18.48</v>
      </c>
      <c r="E85" s="386">
        <f t="shared" si="29"/>
        <v>20.32</v>
      </c>
      <c r="F85" s="191">
        <f t="shared" si="30"/>
        <v>0.52371134020618559</v>
      </c>
      <c r="G85" s="152">
        <f t="shared" si="31"/>
        <v>3.2663876288659797</v>
      </c>
      <c r="H85" s="191">
        <f t="shared" si="32"/>
        <v>0.16331938144329899</v>
      </c>
      <c r="I85" s="386">
        <f t="shared" si="33"/>
        <v>38.799999999999997</v>
      </c>
      <c r="J85" s="152">
        <f t="shared" si="34"/>
        <v>0.45922290016778194</v>
      </c>
      <c r="K85" s="152">
        <f t="shared" si="35"/>
        <v>3.7274586052579699</v>
      </c>
      <c r="L85" s="152">
        <f t="shared" si="36"/>
        <v>3.3899328260416968</v>
      </c>
      <c r="M85" s="386">
        <f t="shared" si="43"/>
        <v>140.50091380423004</v>
      </c>
      <c r="N85" s="175">
        <f t="shared" si="37"/>
        <v>350</v>
      </c>
      <c r="O85" s="191">
        <f t="shared" si="38"/>
        <v>0.18434639175257736</v>
      </c>
      <c r="P85" s="153">
        <f t="shared" si="39"/>
        <v>1.3608247422680413</v>
      </c>
      <c r="Q85" s="153">
        <f t="shared" si="40"/>
        <v>4.3901047932830284E-2</v>
      </c>
      <c r="R85" s="153">
        <f t="shared" si="41"/>
        <v>1.1072834645669289</v>
      </c>
    </row>
    <row r="86" spans="3:18" x14ac:dyDescent="0.25">
      <c r="C86" s="150">
        <v>80</v>
      </c>
      <c r="D86" s="5">
        <f t="shared" si="42"/>
        <v>18.600000000000001</v>
      </c>
      <c r="E86" s="386">
        <f t="shared" si="29"/>
        <v>20.32</v>
      </c>
      <c r="F86" s="191">
        <f t="shared" si="30"/>
        <v>0.52209660842754368</v>
      </c>
      <c r="G86" s="152">
        <f t="shared" si="31"/>
        <v>3.2774614594039053</v>
      </c>
      <c r="H86" s="191">
        <f t="shared" si="32"/>
        <v>0.16387307297019527</v>
      </c>
      <c r="I86" s="386">
        <f t="shared" si="33"/>
        <v>38.92</v>
      </c>
      <c r="J86" s="152">
        <f t="shared" si="34"/>
        <v>0.4576712857129418</v>
      </c>
      <c r="K86" s="152">
        <f t="shared" si="35"/>
        <v>3.6908974654269495</v>
      </c>
      <c r="L86" s="152">
        <f t="shared" si="36"/>
        <v>3.3784789791801804</v>
      </c>
      <c r="M86" s="386">
        <f t="shared" si="43"/>
        <v>141.45519167575941</v>
      </c>
      <c r="N86" s="175">
        <f t="shared" si="37"/>
        <v>350</v>
      </c>
      <c r="O86" s="191">
        <f t="shared" si="38"/>
        <v>0.18497136984290125</v>
      </c>
      <c r="P86" s="153">
        <f t="shared" si="39"/>
        <v>1.3654382616355896</v>
      </c>
      <c r="Q86" s="153">
        <f t="shared" si="40"/>
        <v>4.4199222495862833E-2</v>
      </c>
      <c r="R86" s="153">
        <f t="shared" si="41"/>
        <v>1.1072834645669289</v>
      </c>
    </row>
    <row r="87" spans="3:18" x14ac:dyDescent="0.25">
      <c r="C87" s="150">
        <v>81</v>
      </c>
      <c r="D87" s="5">
        <f t="shared" si="42"/>
        <v>18.72</v>
      </c>
      <c r="E87" s="386">
        <f t="shared" si="29"/>
        <v>20.32</v>
      </c>
      <c r="F87" s="191">
        <f t="shared" si="30"/>
        <v>0.52049180327868849</v>
      </c>
      <c r="G87" s="152">
        <f t="shared" si="31"/>
        <v>3.2884672131147532</v>
      </c>
      <c r="H87" s="191">
        <f t="shared" si="32"/>
        <v>0.16442336065573765</v>
      </c>
      <c r="I87" s="386">
        <f t="shared" si="33"/>
        <v>39.04</v>
      </c>
      <c r="J87" s="152">
        <f t="shared" si="34"/>
        <v>0.45613956375111242</v>
      </c>
      <c r="K87" s="152">
        <f t="shared" si="35"/>
        <v>3.654964453133914</v>
      </c>
      <c r="L87" s="152">
        <f t="shared" si="36"/>
        <v>3.3671719765091961</v>
      </c>
      <c r="M87" s="386">
        <f t="shared" si="43"/>
        <v>142.40680311744151</v>
      </c>
      <c r="N87" s="175">
        <f t="shared" si="37"/>
        <v>350</v>
      </c>
      <c r="O87" s="191">
        <f t="shared" si="38"/>
        <v>0.18559250585480097</v>
      </c>
      <c r="P87" s="153">
        <f t="shared" si="39"/>
        <v>1.3700234192037473</v>
      </c>
      <c r="Q87" s="153">
        <f t="shared" si="40"/>
        <v>4.4496563903712531E-2</v>
      </c>
      <c r="R87" s="153">
        <f t="shared" si="41"/>
        <v>1.1072834645669289</v>
      </c>
    </row>
    <row r="88" spans="3:18" x14ac:dyDescent="0.25">
      <c r="C88" s="150">
        <v>82</v>
      </c>
      <c r="D88" s="5">
        <f t="shared" si="42"/>
        <v>18.84</v>
      </c>
      <c r="E88" s="386">
        <f t="shared" si="29"/>
        <v>20.32</v>
      </c>
      <c r="F88" s="191">
        <f t="shared" si="30"/>
        <v>0.51889683350357518</v>
      </c>
      <c r="G88" s="152">
        <f t="shared" si="31"/>
        <v>3.2994055158324826</v>
      </c>
      <c r="H88" s="191">
        <f t="shared" si="32"/>
        <v>0.16497027579162413</v>
      </c>
      <c r="I88" s="386">
        <f t="shared" si="33"/>
        <v>39.159999999999997</v>
      </c>
      <c r="J88" s="152">
        <f t="shared" si="34"/>
        <v>0.45462735417096212</v>
      </c>
      <c r="K88" s="152">
        <f t="shared" si="35"/>
        <v>3.6196445395777239</v>
      </c>
      <c r="L88" s="152">
        <f t="shared" si="36"/>
        <v>3.3560090120887951</v>
      </c>
      <c r="M88" s="386">
        <f t="shared" si="43"/>
        <v>143.35574331398595</v>
      </c>
      <c r="N88" s="175">
        <f t="shared" si="37"/>
        <v>350</v>
      </c>
      <c r="O88" s="191">
        <f t="shared" si="38"/>
        <v>0.18620983510871156</v>
      </c>
      <c r="P88" s="153">
        <f t="shared" si="39"/>
        <v>1.3745804757040716</v>
      </c>
      <c r="Q88" s="153">
        <f t="shared" si="40"/>
        <v>4.4793070651789155E-2</v>
      </c>
      <c r="R88" s="153">
        <f t="shared" si="41"/>
        <v>1.1072834645669289</v>
      </c>
    </row>
    <row r="89" spans="3:18" x14ac:dyDescent="0.25">
      <c r="C89" s="150">
        <v>83</v>
      </c>
      <c r="D89" s="5">
        <f t="shared" si="42"/>
        <v>18.96</v>
      </c>
      <c r="E89" s="386">
        <f t="shared" si="29"/>
        <v>20.32</v>
      </c>
      <c r="F89" s="191">
        <f t="shared" si="30"/>
        <v>0.51731160896130346</v>
      </c>
      <c r="G89" s="152">
        <f t="shared" si="31"/>
        <v>3.3102769857433811</v>
      </c>
      <c r="H89" s="191">
        <f t="shared" si="32"/>
        <v>0.16551384928716906</v>
      </c>
      <c r="I89" s="386">
        <f t="shared" si="33"/>
        <v>39.28</v>
      </c>
      <c r="J89" s="152">
        <f t="shared" si="34"/>
        <v>0.45313428648423171</v>
      </c>
      <c r="K89" s="152">
        <f t="shared" si="35"/>
        <v>3.5849231525651239</v>
      </c>
      <c r="L89" s="152">
        <f t="shared" si="36"/>
        <v>3.3449873510154897</v>
      </c>
      <c r="M89" s="386">
        <f t="shared" si="43"/>
        <v>144.30200786623584</v>
      </c>
      <c r="N89" s="175">
        <f t="shared" si="37"/>
        <v>350</v>
      </c>
      <c r="O89" s="191">
        <f t="shared" si="38"/>
        <v>0.18682339249345364</v>
      </c>
      <c r="P89" s="153">
        <f t="shared" si="39"/>
        <v>1.3791096886819902</v>
      </c>
      <c r="Q89" s="153">
        <f t="shared" si="40"/>
        <v>4.5088741365528026E-2</v>
      </c>
      <c r="R89" s="153">
        <f t="shared" si="41"/>
        <v>1.1072834645669289</v>
      </c>
    </row>
    <row r="90" spans="3:18" x14ac:dyDescent="0.25">
      <c r="C90" s="150">
        <v>84</v>
      </c>
      <c r="D90" s="5">
        <f t="shared" si="42"/>
        <v>19.079999999999998</v>
      </c>
      <c r="E90" s="386">
        <f t="shared" si="29"/>
        <v>20.32</v>
      </c>
      <c r="F90" s="191">
        <f t="shared" si="30"/>
        <v>0.51573604060913714</v>
      </c>
      <c r="G90" s="152">
        <f t="shared" si="31"/>
        <v>3.3210822335025383</v>
      </c>
      <c r="H90" s="191">
        <f t="shared" si="32"/>
        <v>0.1660541116751269</v>
      </c>
      <c r="I90" s="386">
        <f t="shared" si="33"/>
        <v>39.4</v>
      </c>
      <c r="J90" s="152">
        <f t="shared" si="34"/>
        <v>0.4516599995231203</v>
      </c>
      <c r="K90" s="152">
        <f t="shared" si="35"/>
        <v>3.5507861597729584</v>
      </c>
      <c r="L90" s="152">
        <f t="shared" si="36"/>
        <v>3.3341043271883879</v>
      </c>
      <c r="M90" s="386">
        <f t="shared" si="43"/>
        <v>145.24559277940688</v>
      </c>
      <c r="N90" s="175">
        <f t="shared" si="37"/>
        <v>350</v>
      </c>
      <c r="O90" s="191">
        <f t="shared" si="38"/>
        <v>0.18743321247280642</v>
      </c>
      <c r="P90" s="153">
        <f t="shared" si="39"/>
        <v>1.3836113125453227</v>
      </c>
      <c r="Q90" s="153">
        <f t="shared" si="40"/>
        <v>4.5383574796715051E-2</v>
      </c>
      <c r="R90" s="153">
        <f t="shared" si="41"/>
        <v>1.1072834645669289</v>
      </c>
    </row>
    <row r="91" spans="3:18" x14ac:dyDescent="0.25">
      <c r="C91" s="150">
        <v>85</v>
      </c>
      <c r="D91" s="5">
        <f t="shared" si="42"/>
        <v>19.2</v>
      </c>
      <c r="E91" s="386">
        <f t="shared" si="29"/>
        <v>20.32</v>
      </c>
      <c r="F91" s="191">
        <f t="shared" si="30"/>
        <v>0.51417004048583004</v>
      </c>
      <c r="G91" s="152">
        <f t="shared" si="31"/>
        <v>3.3318218623481792</v>
      </c>
      <c r="H91" s="191">
        <f t="shared" si="32"/>
        <v>0.16659109311740897</v>
      </c>
      <c r="I91" s="386">
        <f t="shared" si="33"/>
        <v>39.519999999999996</v>
      </c>
      <c r="J91" s="152">
        <f t="shared" si="34"/>
        <v>0.45020414114902296</v>
      </c>
      <c r="K91" s="152">
        <f t="shared" si="35"/>
        <v>3.5172198527267415</v>
      </c>
      <c r="L91" s="152">
        <f t="shared" si="36"/>
        <v>3.3233573411591255</v>
      </c>
      <c r="M91" s="386">
        <f t="shared" si="43"/>
        <v>146.18649445163834</v>
      </c>
      <c r="N91" s="175">
        <f t="shared" si="37"/>
        <v>350</v>
      </c>
      <c r="O91" s="191">
        <f t="shared" si="38"/>
        <v>0.18803932909196069</v>
      </c>
      <c r="P91" s="153">
        <f t="shared" si="39"/>
        <v>1.3880855986119145</v>
      </c>
      <c r="Q91" s="153">
        <f t="shared" si="40"/>
        <v>4.5677569819909489E-2</v>
      </c>
      <c r="R91" s="153">
        <f t="shared" si="41"/>
        <v>1.1072834645669289</v>
      </c>
    </row>
    <row r="92" spans="3:18" x14ac:dyDescent="0.25">
      <c r="C92" s="150">
        <v>86</v>
      </c>
      <c r="D92" s="5">
        <f t="shared" si="42"/>
        <v>19.32</v>
      </c>
      <c r="E92" s="386">
        <f t="shared" si="29"/>
        <v>20.32</v>
      </c>
      <c r="F92" s="191">
        <f t="shared" si="30"/>
        <v>0.51261352169525731</v>
      </c>
      <c r="G92" s="152">
        <f t="shared" si="31"/>
        <v>3.3424964682139255</v>
      </c>
      <c r="H92" s="191">
        <f t="shared" si="32"/>
        <v>0.16712482341069629</v>
      </c>
      <c r="I92" s="386">
        <f t="shared" si="33"/>
        <v>39.64</v>
      </c>
      <c r="J92" s="152">
        <f t="shared" si="34"/>
        <v>0.44876636797211944</v>
      </c>
      <c r="K92" s="152">
        <f t="shared" si="35"/>
        <v>3.4842109314605541</v>
      </c>
      <c r="L92" s="152">
        <f t="shared" si="36"/>
        <v>3.3127438580619053</v>
      </c>
      <c r="M92" s="386">
        <f t="shared" si="43"/>
        <v>147.1247096628486</v>
      </c>
      <c r="N92" s="175">
        <f t="shared" si="37"/>
        <v>350</v>
      </c>
      <c r="O92" s="191">
        <f t="shared" si="38"/>
        <v>0.18864177598385473</v>
      </c>
      <c r="P92" s="153">
        <f t="shared" si="39"/>
        <v>1.3925327951564077</v>
      </c>
      <c r="Q92" s="153">
        <f t="shared" si="40"/>
        <v>4.5970725428961579E-2</v>
      </c>
      <c r="R92" s="153">
        <f t="shared" si="41"/>
        <v>1.1072834645669289</v>
      </c>
    </row>
    <row r="93" spans="3:18" x14ac:dyDescent="0.25">
      <c r="C93" s="150">
        <v>87</v>
      </c>
      <c r="D93" s="5">
        <f t="shared" si="42"/>
        <v>19.439999999999998</v>
      </c>
      <c r="E93" s="386">
        <f t="shared" si="29"/>
        <v>20.32</v>
      </c>
      <c r="F93" s="191">
        <f t="shared" si="30"/>
        <v>0.51106639839034207</v>
      </c>
      <c r="G93" s="152">
        <f t="shared" si="31"/>
        <v>3.3531066398390341</v>
      </c>
      <c r="H93" s="191">
        <f t="shared" si="32"/>
        <v>0.16765533199195171</v>
      </c>
      <c r="I93" s="386">
        <f t="shared" si="33"/>
        <v>39.76</v>
      </c>
      <c r="J93" s="152">
        <f t="shared" si="34"/>
        <v>0.4473463450813504</v>
      </c>
      <c r="K93" s="152">
        <f t="shared" si="35"/>
        <v>3.451746489825235</v>
      </c>
      <c r="L93" s="152">
        <f t="shared" si="36"/>
        <v>3.3022614056202046</v>
      </c>
      <c r="M93" s="386">
        <f t="shared" si="43"/>
        <v>148.06023556388635</v>
      </c>
      <c r="N93" s="175">
        <f t="shared" si="37"/>
        <v>350</v>
      </c>
      <c r="O93" s="191">
        <f t="shared" si="38"/>
        <v>0.18924058637539523</v>
      </c>
      <c r="P93" s="153">
        <f t="shared" si="39"/>
        <v>1.3969531474561654</v>
      </c>
      <c r="Q93" s="153">
        <f t="shared" si="40"/>
        <v>4.6263040733622772E-2</v>
      </c>
      <c r="R93" s="153">
        <f t="shared" si="41"/>
        <v>1.1072834645669289</v>
      </c>
    </row>
    <row r="94" spans="3:18" x14ac:dyDescent="0.25">
      <c r="C94" s="150">
        <v>88</v>
      </c>
      <c r="D94" s="5">
        <f t="shared" si="42"/>
        <v>19.560000000000002</v>
      </c>
      <c r="E94" s="386">
        <f t="shared" si="29"/>
        <v>20.32</v>
      </c>
      <c r="F94" s="191">
        <f t="shared" si="30"/>
        <v>0.50952858575727178</v>
      </c>
      <c r="G94" s="152">
        <f t="shared" si="31"/>
        <v>3.3636529588766302</v>
      </c>
      <c r="H94" s="191">
        <f t="shared" si="32"/>
        <v>0.1681826479438315</v>
      </c>
      <c r="I94" s="386">
        <f t="shared" si="33"/>
        <v>39.880000000000003</v>
      </c>
      <c r="J94" s="152">
        <f t="shared" si="34"/>
        <v>0.44594374578433321</v>
      </c>
      <c r="K94" s="152">
        <f t="shared" si="35"/>
        <v>3.4198140014135974</v>
      </c>
      <c r="L94" s="152">
        <f t="shared" si="36"/>
        <v>3.2919075722268687</v>
      </c>
      <c r="M94" s="386">
        <f t="shared" si="43"/>
        <v>148.99306966596885</v>
      </c>
      <c r="N94" s="175">
        <f t="shared" si="37"/>
        <v>350</v>
      </c>
      <c r="O94" s="191">
        <f t="shared" si="38"/>
        <v>0.18983579309356644</v>
      </c>
      <c r="P94" s="153">
        <f t="shared" si="39"/>
        <v>1.4013468978363663</v>
      </c>
      <c r="Q94" s="153">
        <f t="shared" si="40"/>
        <v>4.6554514956245741E-2</v>
      </c>
      <c r="R94" s="153">
        <f t="shared" si="41"/>
        <v>1.1072834645669289</v>
      </c>
    </row>
    <row r="95" spans="3:18" x14ac:dyDescent="0.25">
      <c r="C95" s="150">
        <v>89</v>
      </c>
      <c r="D95" s="5">
        <f t="shared" si="42"/>
        <v>19.68</v>
      </c>
      <c r="E95" s="386">
        <f t="shared" si="29"/>
        <v>20.32</v>
      </c>
      <c r="F95" s="191">
        <f t="shared" si="30"/>
        <v>0.50800000000000001</v>
      </c>
      <c r="G95" s="152">
        <f t="shared" si="31"/>
        <v>3.374136</v>
      </c>
      <c r="H95" s="191">
        <f t="shared" si="32"/>
        <v>0.16870679999999999</v>
      </c>
      <c r="I95" s="386">
        <f t="shared" si="33"/>
        <v>40</v>
      </c>
      <c r="J95" s="152">
        <f t="shared" si="34"/>
        <v>0.44455825135679183</v>
      </c>
      <c r="K95" s="152">
        <f t="shared" si="35"/>
        <v>3.3884013060731082</v>
      </c>
      <c r="L95" s="152">
        <f t="shared" si="36"/>
        <v>3.2816800050944273</v>
      </c>
      <c r="M95" s="386">
        <f t="shared" si="43"/>
        <v>149.9232098304</v>
      </c>
      <c r="N95" s="175">
        <f t="shared" si="37"/>
        <v>350</v>
      </c>
      <c r="O95" s="191">
        <f t="shared" si="38"/>
        <v>0.19042742857142861</v>
      </c>
      <c r="P95" s="153">
        <f t="shared" si="39"/>
        <v>1.4057142857142857</v>
      </c>
      <c r="Q95" s="153">
        <f t="shared" si="40"/>
        <v>4.6845147428571439E-2</v>
      </c>
      <c r="R95" s="153">
        <f t="shared" si="41"/>
        <v>1.1072834645669289</v>
      </c>
    </row>
    <row r="96" spans="3:18" x14ac:dyDescent="0.25">
      <c r="C96" s="150">
        <v>90</v>
      </c>
      <c r="D96" s="5">
        <f t="shared" si="42"/>
        <v>19.8</v>
      </c>
      <c r="E96" s="386">
        <f t="shared" si="29"/>
        <v>20.32</v>
      </c>
      <c r="F96" s="191">
        <f t="shared" si="30"/>
        <v>0.50648055832502492</v>
      </c>
      <c r="G96" s="152">
        <f t="shared" si="31"/>
        <v>3.3845563310069791</v>
      </c>
      <c r="H96" s="191">
        <f t="shared" si="32"/>
        <v>0.16922781655034896</v>
      </c>
      <c r="I96" s="386">
        <f t="shared" si="33"/>
        <v>40.120000000000005</v>
      </c>
      <c r="J96" s="152">
        <f t="shared" si="34"/>
        <v>0.44318955080109934</v>
      </c>
      <c r="K96" s="152">
        <f t="shared" si="35"/>
        <v>3.357496596978025</v>
      </c>
      <c r="L96" s="152">
        <f t="shared" si="36"/>
        <v>3.2715764084726819</v>
      </c>
      <c r="M96" s="386">
        <f t="shared" si="43"/>
        <v>150.85065425856035</v>
      </c>
      <c r="N96" s="175">
        <f t="shared" si="37"/>
        <v>350</v>
      </c>
      <c r="O96" s="191">
        <f t="shared" si="38"/>
        <v>0.19101552485400944</v>
      </c>
      <c r="P96" s="153">
        <f t="shared" si="39"/>
        <v>1.4100555476427861</v>
      </c>
      <c r="Q96" s="153">
        <f t="shared" si="40"/>
        <v>4.7134937588601537E-2</v>
      </c>
      <c r="R96" s="153">
        <f t="shared" si="41"/>
        <v>1.1072834645669289</v>
      </c>
    </row>
    <row r="97" spans="3:18" x14ac:dyDescent="0.25">
      <c r="C97" s="150">
        <v>91</v>
      </c>
      <c r="D97" s="5">
        <f t="shared" si="42"/>
        <v>19.920000000000002</v>
      </c>
      <c r="E97" s="386">
        <f t="shared" si="29"/>
        <v>20.32</v>
      </c>
      <c r="F97" s="191">
        <f t="shared" si="30"/>
        <v>0.50497017892644136</v>
      </c>
      <c r="G97" s="152">
        <f t="shared" si="31"/>
        <v>3.3949145129224654</v>
      </c>
      <c r="H97" s="191">
        <f t="shared" si="32"/>
        <v>0.16974572564612328</v>
      </c>
      <c r="I97" s="386">
        <f t="shared" si="33"/>
        <v>40.24</v>
      </c>
      <c r="J97" s="152">
        <f t="shared" si="34"/>
        <v>0.44183734061354774</v>
      </c>
      <c r="K97" s="152">
        <f t="shared" si="35"/>
        <v>3.3270884082345455</v>
      </c>
      <c r="L97" s="152">
        <f t="shared" si="36"/>
        <v>3.2615945419307164</v>
      </c>
      <c r="M97" s="386">
        <f t="shared" si="43"/>
        <v>151.77540148216073</v>
      </c>
      <c r="N97" s="175">
        <f t="shared" si="37"/>
        <v>350</v>
      </c>
      <c r="O97" s="191">
        <f t="shared" si="38"/>
        <v>0.19160011360408982</v>
      </c>
      <c r="P97" s="153">
        <f t="shared" si="39"/>
        <v>1.4143709173530252</v>
      </c>
      <c r="Q97" s="153">
        <f t="shared" si="40"/>
        <v>4.7423884977553066E-2</v>
      </c>
      <c r="R97" s="153">
        <f t="shared" si="41"/>
        <v>1.1072834645669289</v>
      </c>
    </row>
    <row r="98" spans="3:18" x14ac:dyDescent="0.25">
      <c r="C98" s="150">
        <v>92</v>
      </c>
      <c r="D98" s="5">
        <f t="shared" si="42"/>
        <v>20.04</v>
      </c>
      <c r="E98" s="386">
        <f t="shared" si="29"/>
        <v>20.32</v>
      </c>
      <c r="F98" s="191">
        <f t="shared" si="30"/>
        <v>0.50346878097125869</v>
      </c>
      <c r="G98" s="152">
        <f t="shared" si="31"/>
        <v>3.4052111000991081</v>
      </c>
      <c r="H98" s="191">
        <f t="shared" si="32"/>
        <v>0.17026055500495541</v>
      </c>
      <c r="I98" s="386">
        <f t="shared" si="33"/>
        <v>40.36</v>
      </c>
      <c r="J98" s="152">
        <f t="shared" si="34"/>
        <v>0.44050132455997881</v>
      </c>
      <c r="K98" s="152">
        <f t="shared" si="35"/>
        <v>3.2971656029938532</v>
      </c>
      <c r="L98" s="152">
        <f t="shared" si="36"/>
        <v>3.251732218700631</v>
      </c>
      <c r="M98" s="386">
        <f t="shared" si="43"/>
        <v>152.69745035375382</v>
      </c>
      <c r="N98" s="175">
        <f t="shared" si="37"/>
        <v>350</v>
      </c>
      <c r="O98" s="191">
        <f t="shared" si="38"/>
        <v>0.19218122610788618</v>
      </c>
      <c r="P98" s="153">
        <f t="shared" si="39"/>
        <v>1.4186606257964038</v>
      </c>
      <c r="Q98" s="153">
        <f t="shared" si="40"/>
        <v>4.7711989236893453E-2</v>
      </c>
      <c r="R98" s="153">
        <f t="shared" si="41"/>
        <v>1.1072834645669289</v>
      </c>
    </row>
    <row r="99" spans="3:18" x14ac:dyDescent="0.25">
      <c r="C99" s="150">
        <v>93</v>
      </c>
      <c r="D99" s="5">
        <f t="shared" si="42"/>
        <v>20.16</v>
      </c>
      <c r="E99" s="386">
        <f t="shared" si="29"/>
        <v>20.32</v>
      </c>
      <c r="F99" s="191">
        <f t="shared" si="30"/>
        <v>0.50197628458498023</v>
      </c>
      <c r="G99" s="152">
        <f t="shared" si="31"/>
        <v>3.4154466403162052</v>
      </c>
      <c r="H99" s="191">
        <f t="shared" si="32"/>
        <v>0.17077233201581027</v>
      </c>
      <c r="I99" s="386">
        <f t="shared" si="33"/>
        <v>40.480000000000004</v>
      </c>
      <c r="J99" s="152">
        <f t="shared" si="34"/>
        <v>0.43918121345942862</v>
      </c>
      <c r="K99" s="152">
        <f t="shared" si="35"/>
        <v>3.2677173620493196</v>
      </c>
      <c r="L99" s="152">
        <f t="shared" si="36"/>
        <v>3.241987304080427</v>
      </c>
      <c r="M99" s="386">
        <f t="shared" si="43"/>
        <v>153.61680003749478</v>
      </c>
      <c r="N99" s="175">
        <f t="shared" si="37"/>
        <v>350</v>
      </c>
      <c r="O99" s="191">
        <f t="shared" si="38"/>
        <v>0.19275889328063248</v>
      </c>
      <c r="P99" s="153">
        <f t="shared" si="39"/>
        <v>1.422924901185771</v>
      </c>
      <c r="Q99" s="153">
        <f t="shared" si="40"/>
        <v>4.7999250105453944E-2</v>
      </c>
      <c r="R99" s="153">
        <f t="shared" si="41"/>
        <v>1.1072834645669289</v>
      </c>
    </row>
    <row r="100" spans="3:18" x14ac:dyDescent="0.25">
      <c r="C100" s="150">
        <v>94</v>
      </c>
      <c r="D100" s="5">
        <f t="shared" si="42"/>
        <v>20.28</v>
      </c>
      <c r="E100" s="386">
        <f t="shared" si="29"/>
        <v>20.32</v>
      </c>
      <c r="F100" s="191">
        <f t="shared" si="30"/>
        <v>0.50049261083743846</v>
      </c>
      <c r="G100" s="152">
        <f t="shared" si="31"/>
        <v>3.4256216748768478</v>
      </c>
      <c r="H100" s="191">
        <f t="shared" si="32"/>
        <v>0.17128108374384238</v>
      </c>
      <c r="I100" s="386">
        <f t="shared" si="33"/>
        <v>40.6</v>
      </c>
      <c r="J100" s="152">
        <f t="shared" si="34"/>
        <v>0.43787672497545294</v>
      </c>
      <c r="K100" s="152">
        <f t="shared" si="35"/>
        <v>3.2387331728953619</v>
      </c>
      <c r="L100" s="152">
        <f t="shared" si="36"/>
        <v>3.2323577138935993</v>
      </c>
      <c r="M100" s="386">
        <f t="shared" si="43"/>
        <v>154.53345000014565</v>
      </c>
      <c r="N100" s="175">
        <f t="shared" si="37"/>
        <v>350</v>
      </c>
      <c r="O100" s="191">
        <f t="shared" si="38"/>
        <v>0.19333314567206197</v>
      </c>
      <c r="P100" s="153">
        <f t="shared" si="39"/>
        <v>1.4271639690358904</v>
      </c>
      <c r="Q100" s="153">
        <f t="shared" si="40"/>
        <v>4.8285667416618439E-2</v>
      </c>
      <c r="R100" s="153">
        <f t="shared" si="41"/>
        <v>1.1072834645669289</v>
      </c>
    </row>
    <row r="101" spans="3:18" x14ac:dyDescent="0.25">
      <c r="C101" s="150">
        <v>95</v>
      </c>
      <c r="D101" s="5">
        <f t="shared" si="42"/>
        <v>20.399999999999999</v>
      </c>
      <c r="E101" s="386">
        <f t="shared" si="29"/>
        <v>20.32</v>
      </c>
      <c r="F101" s="191">
        <f t="shared" si="30"/>
        <v>0.49901768172888017</v>
      </c>
      <c r="G101" s="152">
        <f t="shared" si="31"/>
        <v>3.4357367387033402</v>
      </c>
      <c r="H101" s="191">
        <f t="shared" si="32"/>
        <v>0.171786836935167</v>
      </c>
      <c r="I101" s="386">
        <f t="shared" si="33"/>
        <v>40.72</v>
      </c>
      <c r="J101" s="152">
        <f t="shared" si="34"/>
        <v>0.43658758341481818</v>
      </c>
      <c r="K101" s="152">
        <f t="shared" si="35"/>
        <v>3.2102028192266046</v>
      </c>
      <c r="L101" s="152">
        <f t="shared" si="36"/>
        <v>3.2228414130030867</v>
      </c>
      <c r="M101" s="386">
        <f t="shared" si="43"/>
        <v>155.4474000023159</v>
      </c>
      <c r="N101" s="175">
        <f t="shared" si="37"/>
        <v>350</v>
      </c>
      <c r="O101" s="191">
        <f t="shared" si="38"/>
        <v>0.19390401347179345</v>
      </c>
      <c r="P101" s="153">
        <f t="shared" si="39"/>
        <v>1.4313780522031996</v>
      </c>
      <c r="Q101" s="153">
        <f t="shared" si="40"/>
        <v>4.8571241095586769E-2</v>
      </c>
      <c r="R101" s="153">
        <f t="shared" si="41"/>
        <v>1.1072834645669289</v>
      </c>
    </row>
    <row r="102" spans="3:18" x14ac:dyDescent="0.25">
      <c r="C102" s="150">
        <v>96</v>
      </c>
      <c r="D102" s="5">
        <f t="shared" si="42"/>
        <v>20.52</v>
      </c>
      <c r="E102" s="386">
        <f t="shared" si="29"/>
        <v>20.32</v>
      </c>
      <c r="F102" s="191">
        <f t="shared" si="30"/>
        <v>0.49755142017629772</v>
      </c>
      <c r="G102" s="152">
        <f t="shared" ref="G102:G106" si="44">F102*D102*Isw_max*0.5*Efficiency</f>
        <v>3.4457923604309499</v>
      </c>
      <c r="H102" s="191">
        <f t="shared" ref="H102:H106" si="45">G102/Vout</f>
        <v>0.17228961802154749</v>
      </c>
      <c r="I102" s="386">
        <f t="shared" si="33"/>
        <v>40.840000000000003</v>
      </c>
      <c r="J102" s="152">
        <f t="shared" si="34"/>
        <v>0.4353135195332552</v>
      </c>
      <c r="K102" s="152">
        <f t="shared" ref="K102:K106" si="46">L*J102/D102*1000000</f>
        <v>3.1821163708571283</v>
      </c>
      <c r="L102" s="152">
        <f t="shared" si="36"/>
        <v>3.2134364138773757</v>
      </c>
      <c r="M102" s="386">
        <f t="shared" si="43"/>
        <v>156.35865008993318</v>
      </c>
      <c r="N102" s="175">
        <f t="shared" si="37"/>
        <v>350</v>
      </c>
      <c r="O102" s="191">
        <f t="shared" ref="O102:O106" si="47">1/((N102*1000*L)*(1/D102+1/E102))</f>
        <v>0.19447152651462157</v>
      </c>
      <c r="P102" s="153">
        <f t="shared" ref="P102:P106" si="48">L*O102/E102*1000000</f>
        <v>1.4355673709248638</v>
      </c>
      <c r="Q102" s="153">
        <f t="shared" ref="Q102:Q106" si="49">0.5*P102*O102*Nps*N102/1000</f>
        <v>4.8855971156709546E-2</v>
      </c>
      <c r="R102" s="153">
        <f t="shared" si="41"/>
        <v>1.1072834645669289</v>
      </c>
    </row>
    <row r="103" spans="3:18" x14ac:dyDescent="0.25">
      <c r="C103" s="150">
        <v>97</v>
      </c>
      <c r="D103" s="5">
        <f t="shared" ref="D103:D106" si="50">C103/100*(VIN_max-VIN_min)+VIN_min</f>
        <v>20.64</v>
      </c>
      <c r="E103" s="386">
        <f t="shared" si="29"/>
        <v>20.32</v>
      </c>
      <c r="F103" s="191">
        <f t="shared" si="30"/>
        <v>0.49609375</v>
      </c>
      <c r="G103" s="152">
        <f t="shared" si="44"/>
        <v>3.4557890625000001</v>
      </c>
      <c r="H103" s="191">
        <f t="shared" si="45"/>
        <v>0.17278945312499999</v>
      </c>
      <c r="I103" s="386">
        <f t="shared" si="33"/>
        <v>40.96</v>
      </c>
      <c r="J103" s="152">
        <f t="shared" si="34"/>
        <v>0.43405427034798943</v>
      </c>
      <c r="K103" s="152">
        <f t="shared" si="46"/>
        <v>3.1544641740406205</v>
      </c>
      <c r="L103" s="152">
        <f t="shared" si="36"/>
        <v>3.2041407752066142</v>
      </c>
      <c r="M103" s="386">
        <f t="shared" si="43"/>
        <v>157.26720058593753</v>
      </c>
      <c r="N103" s="175">
        <f t="shared" si="37"/>
        <v>350</v>
      </c>
      <c r="O103" s="191">
        <f t="shared" si="47"/>
        <v>0.19503571428571431</v>
      </c>
      <c r="P103" s="153">
        <f t="shared" si="48"/>
        <v>1.439732142857143</v>
      </c>
      <c r="Q103" s="153">
        <f t="shared" si="49"/>
        <v>4.9139857700892867E-2</v>
      </c>
      <c r="R103" s="153">
        <f t="shared" si="41"/>
        <v>1.1072834645669289</v>
      </c>
    </row>
    <row r="104" spans="3:18" x14ac:dyDescent="0.25">
      <c r="C104" s="150">
        <v>98</v>
      </c>
      <c r="D104" s="5">
        <f t="shared" si="50"/>
        <v>20.759999999999998</v>
      </c>
      <c r="E104" s="386">
        <f t="shared" si="29"/>
        <v>20.32</v>
      </c>
      <c r="F104" s="191">
        <f t="shared" si="30"/>
        <v>0.49464459591041871</v>
      </c>
      <c r="G104" s="152">
        <f t="shared" si="44"/>
        <v>3.4657273612463486</v>
      </c>
      <c r="H104" s="191">
        <f t="shared" si="45"/>
        <v>0.17328636806231743</v>
      </c>
      <c r="I104" s="386">
        <f t="shared" si="33"/>
        <v>41.08</v>
      </c>
      <c r="J104" s="152">
        <f t="shared" si="34"/>
        <v>0.43280957895677308</v>
      </c>
      <c r="K104" s="152">
        <f t="shared" si="46"/>
        <v>3.127236842173216</v>
      </c>
      <c r="L104" s="152">
        <f t="shared" si="36"/>
        <v>3.1949526005667304</v>
      </c>
      <c r="M104" s="386">
        <f t="shared" si="43"/>
        <v>158.17305208219361</v>
      </c>
      <c r="N104" s="175">
        <f t="shared" si="37"/>
        <v>350</v>
      </c>
      <c r="O104" s="191">
        <f t="shared" si="47"/>
        <v>0.1955966059257199</v>
      </c>
      <c r="P104" s="153">
        <f t="shared" si="48"/>
        <v>1.4438725831130896</v>
      </c>
      <c r="Q104" s="153">
        <f t="shared" si="49"/>
        <v>4.9422900913071395E-2</v>
      </c>
      <c r="R104" s="153">
        <f t="shared" si="41"/>
        <v>1.1072834645669289</v>
      </c>
    </row>
    <row r="105" spans="3:18" x14ac:dyDescent="0.25">
      <c r="C105" s="150">
        <v>99</v>
      </c>
      <c r="D105" s="5">
        <f t="shared" si="50"/>
        <v>20.88</v>
      </c>
      <c r="E105" s="386">
        <f t="shared" si="29"/>
        <v>20.32</v>
      </c>
      <c r="F105" s="191">
        <f t="shared" si="30"/>
        <v>0.4932038834951456</v>
      </c>
      <c r="G105" s="152">
        <f t="shared" si="44"/>
        <v>3.4756077669902909</v>
      </c>
      <c r="H105" s="191">
        <f t="shared" si="45"/>
        <v>0.17378038834951454</v>
      </c>
      <c r="I105" s="386">
        <f t="shared" si="33"/>
        <v>41.2</v>
      </c>
      <c r="J105" s="152">
        <f t="shared" si="34"/>
        <v>0.43157919436315678</v>
      </c>
      <c r="K105" s="152">
        <f t="shared" si="46"/>
        <v>3.1004252468617586</v>
      </c>
      <c r="L105" s="152">
        <f t="shared" si="36"/>
        <v>3.1858700371296025</v>
      </c>
      <c r="M105" s="386">
        <f t="shared" si="43"/>
        <v>159.07620543161462</v>
      </c>
      <c r="N105" s="175">
        <f t="shared" si="37"/>
        <v>350</v>
      </c>
      <c r="O105" s="191">
        <f t="shared" si="47"/>
        <v>0.19615423023578368</v>
      </c>
      <c r="P105" s="153">
        <f t="shared" si="48"/>
        <v>1.4479889042995839</v>
      </c>
      <c r="Q105" s="153">
        <f t="shared" si="49"/>
        <v>4.9705101059747132E-2</v>
      </c>
      <c r="R105" s="153">
        <f t="shared" si="41"/>
        <v>1.1072834645669289</v>
      </c>
    </row>
    <row r="106" spans="3:18" x14ac:dyDescent="0.25">
      <c r="C106" s="150">
        <v>100</v>
      </c>
      <c r="D106" s="5">
        <f t="shared" si="50"/>
        <v>21</v>
      </c>
      <c r="E106" s="386">
        <f t="shared" si="29"/>
        <v>20.32</v>
      </c>
      <c r="F106" s="191">
        <f t="shared" si="30"/>
        <v>0.49177153920619554</v>
      </c>
      <c r="G106" s="152">
        <f t="shared" si="44"/>
        <v>3.4854307841239107</v>
      </c>
      <c r="H106" s="191">
        <f t="shared" si="45"/>
        <v>0.17427153920619554</v>
      </c>
      <c r="I106" s="386">
        <f t="shared" si="33"/>
        <v>41.32</v>
      </c>
      <c r="J106" s="152">
        <f t="shared" si="34"/>
        <v>0.43036287130775319</v>
      </c>
      <c r="K106" s="152">
        <f t="shared" si="46"/>
        <v>3.0740205093410937</v>
      </c>
      <c r="L106" s="152">
        <f t="shared" si="36"/>
        <v>3.1768912744174691</v>
      </c>
      <c r="M106" s="386">
        <f t="shared" si="43"/>
        <v>159.97666174049215</v>
      </c>
      <c r="N106" s="175">
        <f t="shared" si="37"/>
        <v>350</v>
      </c>
      <c r="O106" s="191">
        <f t="shared" si="47"/>
        <v>0.19670861568247827</v>
      </c>
      <c r="P106" s="153">
        <f t="shared" si="48"/>
        <v>1.4520813165537272</v>
      </c>
      <c r="Q106" s="153">
        <f t="shared" si="49"/>
        <v>4.9986458486592979E-2</v>
      </c>
      <c r="R106" s="153">
        <f t="shared" si="41"/>
        <v>1.1072834645669289</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33203125" defaultRowHeight="13.2" x14ac:dyDescent="0.25"/>
  <cols>
    <col min="1" max="1" width="15.6640625" style="150" customWidth="1"/>
    <col min="2" max="2" width="11.5546875" style="150" customWidth="1"/>
    <col min="3" max="3" width="9.33203125" style="150"/>
    <col min="4" max="4" width="12.44140625" style="150" bestFit="1" customWidth="1"/>
    <col min="5" max="5" width="51.44140625" style="150" customWidth="1"/>
    <col min="6" max="6" width="13.44140625" style="150" customWidth="1"/>
    <col min="7" max="7" width="10" style="150" customWidth="1"/>
    <col min="8" max="8" width="6.6640625" style="150" customWidth="1"/>
    <col min="9" max="9" width="12.44140625" style="150" bestFit="1" customWidth="1"/>
    <col min="10" max="10" width="9.33203125" style="190" customWidth="1"/>
    <col min="11" max="11" width="8.6640625"/>
    <col min="13" max="13" width="10.6640625" customWidth="1"/>
    <col min="14" max="14" width="12" style="150" customWidth="1"/>
    <col min="15" max="15" width="12.6640625" style="190" customWidth="1"/>
    <col min="16" max="16" width="11.44140625" style="190" customWidth="1"/>
    <col min="17" max="17" width="12.44140625" style="190" customWidth="1"/>
    <col min="18" max="19" width="10.5546875" style="175" customWidth="1"/>
    <col min="20" max="20" width="10" style="175" customWidth="1"/>
    <col min="21" max="21" width="10.5546875" style="175" customWidth="1"/>
    <col min="22" max="22" width="8.44140625" style="190" customWidth="1"/>
    <col min="23" max="23" width="9.33203125" style="190" customWidth="1"/>
    <col min="24" max="24" width="9.44140625" style="150" customWidth="1"/>
    <col min="25" max="25" width="9.44140625" style="190" customWidth="1"/>
    <col min="26" max="26" width="8.33203125" style="191" customWidth="1"/>
    <col min="27" max="27" width="9.5546875" style="190" customWidth="1"/>
    <col min="28" max="28" width="9.44140625" style="190" bestFit="1" customWidth="1"/>
    <col min="29" max="29" width="8.5546875" style="190" customWidth="1"/>
    <col min="30" max="30" width="9.6640625" style="192" customWidth="1"/>
    <col min="31" max="31" width="9.33203125" style="192" customWidth="1"/>
    <col min="32" max="32" width="8.33203125" style="190" customWidth="1"/>
    <col min="33" max="33" width="10.33203125" style="190" customWidth="1"/>
    <col min="34" max="34" width="9.44140625" style="190" customWidth="1"/>
    <col min="35" max="35" width="8.6640625"/>
    <col min="36" max="36" width="9.6640625" style="190" customWidth="1"/>
    <col min="37" max="37" width="11.5546875" style="190" customWidth="1"/>
    <col min="38" max="38" width="10.33203125" style="190" customWidth="1"/>
    <col min="39" max="39" width="11.33203125" style="190" customWidth="1"/>
    <col min="40" max="40" width="9.33203125" style="190"/>
    <col min="41" max="41" width="10.33203125" style="190" customWidth="1"/>
    <col min="42" max="43" width="9.6640625" style="190" customWidth="1"/>
    <col min="44" max="45" width="10.33203125" style="190" customWidth="1"/>
    <col min="46" max="46" width="10.44140625" style="190" customWidth="1"/>
    <col min="47" max="47" width="11.33203125" style="190" customWidth="1"/>
    <col min="48" max="48" width="11.6640625" style="190" customWidth="1"/>
    <col min="49" max="49" width="10.44140625" style="190" customWidth="1"/>
    <col min="50" max="50" width="11.44140625" style="190" customWidth="1"/>
    <col min="51" max="51" width="10.33203125" style="190" customWidth="1"/>
    <col min="52" max="52" width="10" style="152" bestFit="1" customWidth="1"/>
    <col min="53" max="55" width="12.6640625" style="299" customWidth="1"/>
    <col min="56" max="56" width="14" style="299" customWidth="1"/>
    <col min="57" max="57" width="12.6640625" style="299" customWidth="1"/>
    <col min="58" max="58" width="10.44140625" style="299" customWidth="1"/>
    <col min="59" max="59" width="9" style="299" customWidth="1"/>
    <col min="60" max="60" width="8.6640625" style="299" customWidth="1"/>
    <col min="61" max="61" width="10.6640625" style="299" customWidth="1"/>
    <col min="62" max="62" width="11.33203125" style="299" customWidth="1"/>
    <col min="63" max="64" width="9.33203125" style="299"/>
    <col min="65" max="65" width="8.6640625" style="152" customWidth="1"/>
    <col min="66" max="66" width="9.33203125" style="191"/>
    <col min="67" max="67" width="12.5546875" style="150" customWidth="1"/>
    <col min="68" max="68" width="13.5546875" style="152" customWidth="1"/>
    <col min="69" max="69" width="12.6640625" style="175" customWidth="1"/>
    <col min="70" max="70" width="3.6640625" style="150" customWidth="1"/>
    <col min="71" max="71" width="12.44140625" style="150" bestFit="1" customWidth="1"/>
    <col min="72" max="72" width="3.5546875" style="150" customWidth="1"/>
    <col min="73" max="73" width="9.33203125" style="152"/>
    <col min="74" max="74" width="11.33203125" style="152" customWidth="1"/>
    <col min="75" max="75" width="9.33203125" style="152"/>
    <col min="76" max="76" width="4.6640625" style="150" customWidth="1"/>
    <col min="77" max="77" width="3.6640625" style="150" customWidth="1"/>
    <col min="78" max="78" width="12.44140625" style="150" customWidth="1"/>
    <col min="79" max="79" width="11.6640625" style="150" customWidth="1"/>
    <col min="80" max="80" width="11.5546875" style="150" customWidth="1"/>
    <col min="81" max="81" width="11.6640625" style="150" customWidth="1"/>
    <col min="82" max="82" width="9.33203125" style="150"/>
    <col min="83" max="83" width="9.33203125" style="150" customWidth="1"/>
    <col min="84" max="16384" width="9.33203125" style="150"/>
  </cols>
  <sheetData>
    <row r="1" spans="1:81" x14ac:dyDescent="0.25">
      <c r="A1" s="732" t="s">
        <v>515</v>
      </c>
      <c r="B1" s="732"/>
      <c r="C1" s="732"/>
      <c r="D1" s="732"/>
      <c r="E1" s="732"/>
    </row>
    <row r="2" spans="1:81" ht="15.6" x14ac:dyDescent="0.25">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8" thickBot="1" x14ac:dyDescent="0.3">
      <c r="A3" s="732"/>
      <c r="B3" s="732"/>
      <c r="C3" s="732"/>
      <c r="D3" s="732"/>
      <c r="E3" s="732"/>
    </row>
    <row r="4" spans="1:81" ht="13.8" thickBot="1" x14ac:dyDescent="0.3">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55000000000000004">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5">
      <c r="A6" s="234" t="s">
        <v>26</v>
      </c>
      <c r="B6" s="235" t="s">
        <v>43</v>
      </c>
      <c r="C6" s="236" t="s">
        <v>33</v>
      </c>
      <c r="D6" s="236" t="s">
        <v>90</v>
      </c>
      <c r="E6" s="237" t="s">
        <v>41</v>
      </c>
      <c r="F6" s="238"/>
      <c r="G6" s="238"/>
      <c r="H6" s="150">
        <v>0.1</v>
      </c>
      <c r="I6" s="397">
        <f t="shared" ref="I6:I37" si="0">IF(PLOT_TYPE=1, H6/100*Iout_max, min_I*EXP(H6*rr/100))</f>
        <v>1E-4</v>
      </c>
      <c r="J6" s="191"/>
      <c r="K6" s="191"/>
      <c r="L6" s="191"/>
      <c r="M6" s="191"/>
      <c r="N6" s="239"/>
      <c r="O6" s="152"/>
      <c r="P6" s="191"/>
      <c r="Q6" s="386"/>
      <c r="S6" s="240"/>
      <c r="T6" s="240"/>
      <c r="U6" s="240"/>
      <c r="AJ6" s="386"/>
      <c r="AY6" s="190">
        <f>Vout*I6</f>
        <v>2E-3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0.1</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5">
      <c r="A7" s="360"/>
      <c r="B7" s="235"/>
      <c r="C7" s="236"/>
      <c r="D7" s="236"/>
      <c r="E7" s="237"/>
      <c r="F7" s="238"/>
      <c r="G7" s="238"/>
      <c r="H7" s="150">
        <v>1</v>
      </c>
      <c r="I7" s="397">
        <f t="shared" si="0"/>
        <v>1E-3</v>
      </c>
      <c r="J7" s="191"/>
      <c r="K7" s="191"/>
      <c r="L7" s="191"/>
      <c r="M7" s="191"/>
      <c r="N7" s="239"/>
      <c r="O7" s="152"/>
      <c r="P7" s="191"/>
      <c r="Q7" s="386"/>
      <c r="S7" s="240"/>
      <c r="T7" s="240"/>
      <c r="U7" s="240"/>
      <c r="AJ7" s="386"/>
      <c r="AY7" s="190">
        <f>Vout*I7</f>
        <v>0.02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1</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5">
      <c r="A8" s="244" t="s">
        <v>3</v>
      </c>
      <c r="B8" s="245">
        <f>Vin</f>
        <v>20</v>
      </c>
      <c r="C8" s="151" t="s">
        <v>0</v>
      </c>
      <c r="D8" s="172">
        <f>B8</f>
        <v>20</v>
      </c>
      <c r="E8" s="151" t="s">
        <v>3</v>
      </c>
      <c r="F8" s="238"/>
      <c r="G8" s="238"/>
      <c r="H8" s="150">
        <v>2</v>
      </c>
      <c r="I8" s="397">
        <f t="shared" si="0"/>
        <v>2E-3</v>
      </c>
      <c r="J8" s="191"/>
      <c r="K8" s="191"/>
      <c r="L8" s="191"/>
      <c r="M8" s="191"/>
      <c r="N8" s="239"/>
      <c r="O8" s="152"/>
      <c r="P8" s="191"/>
      <c r="Q8" s="386"/>
      <c r="S8" s="240"/>
      <c r="T8" s="240"/>
      <c r="U8" s="240"/>
      <c r="AJ8" s="386"/>
      <c r="AY8" s="190">
        <f>Vout*I8</f>
        <v>0.04</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2</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5">
      <c r="A9" s="246" t="s">
        <v>4</v>
      </c>
      <c r="B9" s="245">
        <f>Vout</f>
        <v>20</v>
      </c>
      <c r="C9" s="151" t="s">
        <v>0</v>
      </c>
      <c r="D9" s="172">
        <f>B9</f>
        <v>20</v>
      </c>
      <c r="E9" s="151" t="s">
        <v>4</v>
      </c>
      <c r="F9" s="238"/>
      <c r="G9" s="238"/>
      <c r="H9" s="150">
        <v>3</v>
      </c>
      <c r="I9" s="397">
        <f t="shared" si="0"/>
        <v>3.0000000000000001E-3</v>
      </c>
      <c r="J9" s="191"/>
      <c r="K9" s="191"/>
      <c r="L9" s="191"/>
      <c r="M9" s="191"/>
      <c r="N9" s="239"/>
      <c r="O9" s="152"/>
      <c r="P9" s="191"/>
      <c r="Q9" s="386"/>
      <c r="S9" s="240"/>
      <c r="T9" s="240"/>
      <c r="U9" s="240"/>
      <c r="AJ9" s="386"/>
      <c r="AY9" s="190">
        <f>Vout*I9</f>
        <v>0.06</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3</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5">
      <c r="A10" s="246" t="s">
        <v>5</v>
      </c>
      <c r="B10" s="245">
        <f>Iout</f>
        <v>0.1</v>
      </c>
      <c r="C10" s="151" t="s">
        <v>1</v>
      </c>
      <c r="D10" s="172">
        <f>B10</f>
        <v>0.1</v>
      </c>
      <c r="E10" s="151" t="s">
        <v>241</v>
      </c>
      <c r="F10" s="238"/>
      <c r="G10" s="238"/>
      <c r="H10" s="150">
        <v>4</v>
      </c>
      <c r="I10" s="397">
        <f t="shared" si="0"/>
        <v>4.0000000000000001E-3</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5">
      <c r="A11" s="246" t="s">
        <v>139</v>
      </c>
      <c r="B11" s="310">
        <f>Vout/(Fsw/1000)*100000/16</f>
        <v>-1250000</v>
      </c>
      <c r="C11" s="247" t="s">
        <v>242</v>
      </c>
      <c r="D11" s="258">
        <f>B11*1000</f>
        <v>-1250000000</v>
      </c>
      <c r="E11" s="151"/>
      <c r="F11" s="238"/>
      <c r="G11" s="238"/>
      <c r="H11" s="150">
        <v>5</v>
      </c>
      <c r="I11" s="397">
        <f t="shared" si="0"/>
        <v>5.000000000000001E-3</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5">
      <c r="A12" s="246" t="s">
        <v>243</v>
      </c>
      <c r="B12" s="245">
        <v>25</v>
      </c>
      <c r="C12" s="151" t="s">
        <v>102</v>
      </c>
      <c r="D12" s="172">
        <f>B12</f>
        <v>25</v>
      </c>
      <c r="E12" s="151" t="s">
        <v>244</v>
      </c>
      <c r="F12" s="238">
        <f>Turns_Ratio</f>
        <v>9</v>
      </c>
      <c r="H12" s="150">
        <v>6</v>
      </c>
      <c r="I12" s="397">
        <f t="shared" si="0"/>
        <v>6.0000000000000001E-3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5">
      <c r="A13" s="248" t="s">
        <v>245</v>
      </c>
      <c r="B13" s="249">
        <v>5</v>
      </c>
      <c r="C13" s="151" t="s">
        <v>0</v>
      </c>
      <c r="D13" s="172">
        <f>B13</f>
        <v>5</v>
      </c>
      <c r="E13" s="151"/>
      <c r="F13" s="238"/>
      <c r="G13" s="238"/>
      <c r="H13" s="150">
        <v>7</v>
      </c>
      <c r="I13" s="397">
        <f t="shared" si="0"/>
        <v>7.000000000000001E-3</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5">
      <c r="F14" s="238"/>
      <c r="G14" s="238"/>
      <c r="H14" s="150">
        <v>8</v>
      </c>
      <c r="I14" s="397">
        <f t="shared" si="0"/>
        <v>8.0000000000000002E-3</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5">
      <c r="A15" s="250" t="s">
        <v>34</v>
      </c>
      <c r="B15" s="212"/>
      <c r="C15" s="212"/>
      <c r="D15" s="212"/>
      <c r="E15" s="213"/>
      <c r="F15" s="238"/>
      <c r="G15" s="238"/>
      <c r="H15" s="150">
        <v>9</v>
      </c>
      <c r="I15" s="397">
        <f t="shared" si="0"/>
        <v>8.9999999999999993E-3</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5">
      <c r="A16" s="234" t="s">
        <v>26</v>
      </c>
      <c r="B16" s="235" t="s">
        <v>6</v>
      </c>
      <c r="C16" s="235" t="s">
        <v>33</v>
      </c>
      <c r="D16" s="251" t="s">
        <v>90</v>
      </c>
      <c r="E16" s="237" t="s">
        <v>41</v>
      </c>
      <c r="F16" s="238"/>
      <c r="G16" s="238"/>
      <c r="H16" s="150">
        <v>10</v>
      </c>
      <c r="I16" s="397">
        <f t="shared" si="0"/>
        <v>1.0000000000000002E-2</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5">
      <c r="A17" s="248" t="s">
        <v>246</v>
      </c>
      <c r="B17" s="252">
        <f>Vout/Vin/Fsw*1000000</f>
        <v>-10000</v>
      </c>
      <c r="C17" s="253" t="s">
        <v>247</v>
      </c>
      <c r="D17" s="254">
        <f>B17/1000000</f>
        <v>-0.01</v>
      </c>
      <c r="E17" s="151" t="s">
        <v>248</v>
      </c>
      <c r="F17" s="238"/>
      <c r="G17" s="238"/>
      <c r="H17" s="150">
        <v>11</v>
      </c>
      <c r="I17" s="397">
        <f t="shared" si="0"/>
        <v>1.1000000000000001E-2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5">
      <c r="A18" s="248" t="s">
        <v>249</v>
      </c>
      <c r="B18" s="252"/>
      <c r="C18" s="253" t="s">
        <v>247</v>
      </c>
      <c r="D18" s="255">
        <f>B18/1000000</f>
        <v>0</v>
      </c>
      <c r="E18" s="151" t="s">
        <v>250</v>
      </c>
      <c r="F18" s="238"/>
      <c r="G18" s="238"/>
      <c r="H18" s="150">
        <v>12</v>
      </c>
      <c r="I18" s="397">
        <f t="shared" si="0"/>
        <v>1.2E-2</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6" x14ac:dyDescent="0.35">
      <c r="A19" s="248" t="s">
        <v>251</v>
      </c>
      <c r="B19" s="256">
        <f>(Vin-Vout-(Rdcr_pri+Rdson)*Iout)/L*OnTime*1000</f>
        <v>7666.6666666666661</v>
      </c>
      <c r="C19" s="151" t="s">
        <v>30</v>
      </c>
      <c r="D19" s="168">
        <f>B19/1000</f>
        <v>7.6666666666666661</v>
      </c>
      <c r="E19" s="151" t="s">
        <v>252</v>
      </c>
      <c r="F19" s="238"/>
      <c r="G19" s="238"/>
      <c r="H19" s="150">
        <v>13</v>
      </c>
      <c r="I19" s="397">
        <f t="shared" si="0"/>
        <v>1.3000000000000001E-2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5">
      <c r="A20" s="248" t="s">
        <v>253</v>
      </c>
      <c r="B20" s="257">
        <f>'LM(2)518x PSR flyback converter'!E13</f>
        <v>-0.1</v>
      </c>
      <c r="C20" s="151" t="s">
        <v>2</v>
      </c>
      <c r="D20" s="258">
        <f>B20*1000</f>
        <v>-100</v>
      </c>
      <c r="E20" s="151" t="s">
        <v>254</v>
      </c>
      <c r="F20" s="292"/>
      <c r="G20" s="238"/>
      <c r="H20" s="150">
        <v>14</v>
      </c>
      <c r="I20" s="397">
        <f t="shared" si="0"/>
        <v>1.4000000000000002E-2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5">
      <c r="A21" s="248" t="s">
        <v>417</v>
      </c>
      <c r="B21" s="256">
        <v>350</v>
      </c>
      <c r="C21" s="151" t="s">
        <v>2</v>
      </c>
      <c r="D21" s="258">
        <f>B21*1000</f>
        <v>350000</v>
      </c>
      <c r="E21" s="151" t="s">
        <v>418</v>
      </c>
      <c r="F21" s="238"/>
      <c r="G21" s="238"/>
      <c r="H21" s="150">
        <v>15</v>
      </c>
      <c r="I21" s="397">
        <f t="shared" si="0"/>
        <v>1.4999999999999999E-2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5">
      <c r="A22" s="259" t="s">
        <v>38</v>
      </c>
      <c r="B22" s="260">
        <v>10</v>
      </c>
      <c r="C22" s="151" t="s">
        <v>32</v>
      </c>
      <c r="D22" s="261">
        <f>B22/1000000000</f>
        <v>1E-8</v>
      </c>
      <c r="E22" s="151" t="s">
        <v>255</v>
      </c>
      <c r="F22" s="238"/>
      <c r="G22" s="238"/>
      <c r="H22" s="150">
        <v>16</v>
      </c>
      <c r="I22" s="397">
        <f t="shared" si="0"/>
        <v>1.6E-2</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5">
      <c r="A23" s="259" t="s">
        <v>39</v>
      </c>
      <c r="B23" s="260">
        <v>10</v>
      </c>
      <c r="C23" s="151" t="s">
        <v>32</v>
      </c>
      <c r="D23" s="261">
        <f>B23/1000000000</f>
        <v>1E-8</v>
      </c>
      <c r="E23" s="151" t="s">
        <v>256</v>
      </c>
      <c r="F23" s="238"/>
      <c r="G23" s="238"/>
      <c r="H23" s="150">
        <v>17</v>
      </c>
      <c r="I23" s="397">
        <f t="shared" si="0"/>
        <v>1.7000000000000001E-2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5">
      <c r="A24" s="213"/>
      <c r="B24" s="213"/>
      <c r="C24" s="213"/>
      <c r="D24" s="213"/>
      <c r="E24" s="213"/>
      <c r="F24" s="238"/>
      <c r="G24" s="238"/>
      <c r="H24" s="150">
        <v>18</v>
      </c>
      <c r="I24" s="397">
        <f t="shared" si="0"/>
        <v>1.7999999999999999E-2</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5">
      <c r="A25" s="234" t="s">
        <v>29</v>
      </c>
      <c r="B25" s="236" t="s">
        <v>43</v>
      </c>
      <c r="C25" s="235" t="s">
        <v>33</v>
      </c>
      <c r="D25" s="251" t="s">
        <v>90</v>
      </c>
      <c r="E25" s="237" t="s">
        <v>41</v>
      </c>
      <c r="F25" s="238"/>
      <c r="G25" s="238"/>
      <c r="H25" s="150">
        <v>19</v>
      </c>
      <c r="I25" s="397">
        <f t="shared" si="0"/>
        <v>1.9000000000000003E-2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8" thickBot="1" x14ac:dyDescent="0.3">
      <c r="A26" s="262" t="s">
        <v>27</v>
      </c>
      <c r="B26" s="151">
        <f>'LM(2)518x PSR flyback converter'!L7</f>
        <v>150</v>
      </c>
      <c r="C26" s="253" t="s">
        <v>96</v>
      </c>
      <c r="D26" s="172">
        <f>B26/1000000</f>
        <v>1.4999999999999999E-4</v>
      </c>
      <c r="E26" s="151" t="s">
        <v>257</v>
      </c>
      <c r="F26" s="263"/>
      <c r="G26" s="238"/>
      <c r="H26" s="150">
        <v>20</v>
      </c>
      <c r="I26" s="397">
        <f t="shared" si="0"/>
        <v>2.0000000000000004E-2</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8" thickBot="1" x14ac:dyDescent="0.3">
      <c r="A27" s="264" t="s">
        <v>392</v>
      </c>
      <c r="B27" s="265">
        <f>'LM(2)518x PSR flyback converter'!L8</f>
        <v>800</v>
      </c>
      <c r="C27" s="266" t="s">
        <v>258</v>
      </c>
      <c r="D27" s="172">
        <f>B27/1000</f>
        <v>0.8</v>
      </c>
      <c r="E27" s="151" t="s">
        <v>487</v>
      </c>
      <c r="F27" s="238"/>
      <c r="G27" s="238"/>
      <c r="H27" s="150">
        <v>21</v>
      </c>
      <c r="I27" s="397">
        <f t="shared" si="0"/>
        <v>2.1000000000000001E-2</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8" thickBot="1" x14ac:dyDescent="0.3">
      <c r="A28" s="264" t="s">
        <v>455</v>
      </c>
      <c r="B28" s="265">
        <f>'LM(2)518x PSR flyback converter'!L9</f>
        <v>796</v>
      </c>
      <c r="C28" s="266" t="s">
        <v>258</v>
      </c>
      <c r="D28" s="172">
        <f>B28/1000</f>
        <v>0.79600000000000004</v>
      </c>
      <c r="E28" s="151" t="s">
        <v>661</v>
      </c>
      <c r="F28" s="238"/>
      <c r="G28" s="238"/>
      <c r="H28" s="150">
        <v>22</v>
      </c>
      <c r="I28" s="397">
        <f t="shared" si="0"/>
        <v>2.2000000000000002E-2</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8" thickBot="1" x14ac:dyDescent="0.3">
      <c r="A29" s="264" t="s">
        <v>259</v>
      </c>
      <c r="B29" s="267">
        <v>0</v>
      </c>
      <c r="C29" s="266"/>
      <c r="D29" s="261">
        <f>B29</f>
        <v>0</v>
      </c>
      <c r="E29" s="268" t="s">
        <v>486</v>
      </c>
      <c r="F29" s="238"/>
      <c r="G29" s="238"/>
      <c r="H29" s="150">
        <v>23</v>
      </c>
      <c r="I29" s="397">
        <f t="shared" si="0"/>
        <v>2.3000000000000003E-2</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8" thickBot="1" x14ac:dyDescent="0.3">
      <c r="A30" s="269" t="s">
        <v>28</v>
      </c>
      <c r="B30" s="265">
        <f>'LM(2)518x PSR flyback converter'!E18</f>
        <v>10</v>
      </c>
      <c r="C30" s="270" t="s">
        <v>97</v>
      </c>
      <c r="D30" s="271">
        <f>B30/1000000</f>
        <v>1.0000000000000001E-5</v>
      </c>
      <c r="E30" s="272" t="s">
        <v>60</v>
      </c>
      <c r="F30" s="238"/>
      <c r="G30" s="238"/>
      <c r="H30" s="150">
        <v>24</v>
      </c>
      <c r="I30" s="397">
        <f t="shared" si="0"/>
        <v>2.4E-2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8" thickBot="1" x14ac:dyDescent="0.3">
      <c r="A31" s="264" t="s">
        <v>260</v>
      </c>
      <c r="B31" s="265">
        <f>'LM(2)518x PSR flyback converter'!E19</f>
        <v>3</v>
      </c>
      <c r="C31" s="266" t="s">
        <v>258</v>
      </c>
      <c r="D31" s="172">
        <f>B31/1000</f>
        <v>3.0000000000000001E-3</v>
      </c>
      <c r="E31" s="151" t="s">
        <v>261</v>
      </c>
      <c r="F31" s="238"/>
      <c r="G31" s="238"/>
      <c r="H31" s="150">
        <v>25</v>
      </c>
      <c r="I31" s="397">
        <f t="shared" si="0"/>
        <v>2.5000000000000001E-2</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8" thickBot="1" x14ac:dyDescent="0.3">
      <c r="A32" s="262" t="s">
        <v>14</v>
      </c>
      <c r="B32" s="311">
        <f>'LM(2)518x PSR flyback converter'!E22</f>
        <v>20</v>
      </c>
      <c r="C32" s="253" t="s">
        <v>97</v>
      </c>
      <c r="D32" s="254">
        <f>B32/1000000</f>
        <v>2.0000000000000002E-5</v>
      </c>
      <c r="E32" s="151" t="s">
        <v>262</v>
      </c>
      <c r="F32" s="238"/>
      <c r="G32" s="238"/>
      <c r="H32" s="150">
        <v>26</v>
      </c>
      <c r="I32" s="397">
        <f t="shared" si="0"/>
        <v>2.6000000000000002E-2</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5">
      <c r="A33" s="264" t="s">
        <v>263</v>
      </c>
      <c r="B33" s="311">
        <f>'LM(2)518x PSR flyback converter'!E23</f>
        <v>3</v>
      </c>
      <c r="C33" s="266" t="s">
        <v>258</v>
      </c>
      <c r="D33" s="172">
        <f>B33/1000</f>
        <v>3.0000000000000001E-3</v>
      </c>
      <c r="E33" s="151" t="s">
        <v>264</v>
      </c>
      <c r="F33" s="238"/>
      <c r="G33" s="238"/>
      <c r="H33" s="150">
        <v>27</v>
      </c>
      <c r="I33" s="397">
        <f t="shared" si="0"/>
        <v>2.7000000000000003E-2</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5">
      <c r="A34" s="273" t="s">
        <v>401</v>
      </c>
      <c r="B34" s="236"/>
      <c r="C34" s="273" t="s">
        <v>33</v>
      </c>
      <c r="D34" s="273" t="s">
        <v>90</v>
      </c>
      <c r="E34" s="274" t="s">
        <v>41</v>
      </c>
      <c r="F34" s="238"/>
      <c r="G34" s="238"/>
      <c r="H34" s="150">
        <v>28</v>
      </c>
      <c r="I34" s="397">
        <f t="shared" si="0"/>
        <v>2.8000000000000004E-2</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5">
      <c r="A35" s="264" t="s">
        <v>406</v>
      </c>
      <c r="B35" s="275">
        <f>CHOOSE(VARIANT, 1.5, 0.75, 1.5, 2.5, 4.1)</f>
        <v>0.75</v>
      </c>
      <c r="C35" s="253" t="s">
        <v>1</v>
      </c>
      <c r="D35" s="241">
        <f>B35</f>
        <v>0.75</v>
      </c>
      <c r="E35" s="151" t="s">
        <v>405</v>
      </c>
      <c r="F35" s="238"/>
      <c r="G35" s="238"/>
      <c r="H35" s="150">
        <v>29</v>
      </c>
      <c r="I35" s="397">
        <f t="shared" si="0"/>
        <v>2.8999999999999998E-2</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5">
      <c r="A36" s="264" t="s">
        <v>414</v>
      </c>
      <c r="B36" s="275">
        <f>B35/5</f>
        <v>0.15</v>
      </c>
      <c r="C36" s="253" t="s">
        <v>1</v>
      </c>
      <c r="D36" s="241">
        <f>B36</f>
        <v>0.15</v>
      </c>
      <c r="E36" s="151" t="s">
        <v>415</v>
      </c>
      <c r="F36" s="238"/>
      <c r="G36" s="238"/>
      <c r="H36" s="150">
        <v>30</v>
      </c>
      <c r="I36" s="397">
        <f t="shared" si="0"/>
        <v>0.03</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8" thickBot="1" x14ac:dyDescent="0.3">
      <c r="A37" s="264" t="s">
        <v>693</v>
      </c>
      <c r="B37" s="555">
        <v>30</v>
      </c>
      <c r="C37" s="150" t="s">
        <v>32</v>
      </c>
      <c r="D37" s="150">
        <f>B37*0.000000001</f>
        <v>3.0000000000000004E-8</v>
      </c>
      <c r="E37" s="150" t="s">
        <v>694</v>
      </c>
      <c r="F37" s="238"/>
      <c r="G37" s="238"/>
      <c r="H37" s="150">
        <v>31</v>
      </c>
      <c r="I37" s="397">
        <f t="shared" si="0"/>
        <v>3.1E-2</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8" thickBot="1" x14ac:dyDescent="0.3">
      <c r="A38" s="276" t="s">
        <v>47</v>
      </c>
      <c r="B38" s="461">
        <v>1</v>
      </c>
      <c r="C38" s="253"/>
      <c r="D38" s="241">
        <f>B38</f>
        <v>1</v>
      </c>
      <c r="E38" s="151" t="s">
        <v>416</v>
      </c>
      <c r="H38" s="150">
        <v>32</v>
      </c>
      <c r="I38" s="397">
        <f t="shared" ref="I38:I69" si="24">IF(PLOT_TYPE=1, H38/100*Iout_max, min_I*EXP(H38*rr/100))</f>
        <v>3.2000000000000001E-2</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5">
      <c r="A39" s="264" t="s">
        <v>24</v>
      </c>
      <c r="B39" s="277">
        <v>290</v>
      </c>
      <c r="C39" s="253" t="s">
        <v>265</v>
      </c>
      <c r="D39" s="255">
        <f>B39/1000000</f>
        <v>2.9E-4</v>
      </c>
      <c r="E39" s="151" t="s">
        <v>488</v>
      </c>
      <c r="H39" s="150">
        <v>33</v>
      </c>
      <c r="I39" s="397">
        <f t="shared" si="24"/>
        <v>3.3000000000000002E-2</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8" thickBot="1" x14ac:dyDescent="0.3">
      <c r="A40" s="273" t="s">
        <v>398</v>
      </c>
      <c r="B40" s="278"/>
      <c r="C40" s="273" t="s">
        <v>33</v>
      </c>
      <c r="D40" s="273" t="s">
        <v>90</v>
      </c>
      <c r="E40" s="279" t="s">
        <v>41</v>
      </c>
      <c r="H40" s="150">
        <v>34</v>
      </c>
      <c r="I40" s="397">
        <f t="shared" si="24"/>
        <v>3.4000000000000002E-2</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5">
      <c r="A41" s="280" t="s">
        <v>399</v>
      </c>
      <c r="B41" s="281">
        <f>CHOOSE(VARIANT, 350, 350, 350, 110, 110)</f>
        <v>350</v>
      </c>
      <c r="C41" s="247" t="s">
        <v>258</v>
      </c>
      <c r="D41" s="151">
        <f>B41/1000</f>
        <v>0.35</v>
      </c>
      <c r="E41" s="151" t="s">
        <v>403</v>
      </c>
      <c r="H41" s="150">
        <v>35</v>
      </c>
      <c r="I41" s="397">
        <f t="shared" si="24"/>
        <v>3.4999999999999996E-2</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8" thickBot="1" x14ac:dyDescent="0.3">
      <c r="A42" s="150" t="s">
        <v>687</v>
      </c>
      <c r="B42" s="150">
        <v>4500</v>
      </c>
      <c r="C42" s="552" t="s">
        <v>688</v>
      </c>
      <c r="D42" s="151">
        <f>B42/1000000</f>
        <v>4.4999999999999997E-3</v>
      </c>
      <c r="E42" s="553" t="s">
        <v>689</v>
      </c>
      <c r="H42" s="150">
        <v>36</v>
      </c>
      <c r="I42" s="397">
        <f t="shared" si="24"/>
        <v>3.5999999999999997E-2</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8" thickBot="1" x14ac:dyDescent="0.3">
      <c r="A43" s="264" t="s">
        <v>266</v>
      </c>
      <c r="B43" s="282"/>
      <c r="C43" s="150" t="s">
        <v>267</v>
      </c>
      <c r="D43" s="151"/>
      <c r="E43" s="151" t="s">
        <v>266</v>
      </c>
      <c r="H43" s="150">
        <v>37</v>
      </c>
      <c r="I43" s="397">
        <f t="shared" si="24"/>
        <v>3.6999999999999998E-2</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8" thickBot="1" x14ac:dyDescent="0.3">
      <c r="A44" s="264" t="s">
        <v>400</v>
      </c>
      <c r="B44" s="281">
        <f>CHOOSE(VARIANT, 2.5, 2.5, 2.5, 10, 10)</f>
        <v>2.5</v>
      </c>
      <c r="C44" s="253" t="s">
        <v>31</v>
      </c>
      <c r="D44" s="151">
        <f>B44/1000000000</f>
        <v>2.5000000000000001E-9</v>
      </c>
      <c r="E44" s="151" t="s">
        <v>402</v>
      </c>
      <c r="H44" s="150">
        <v>38</v>
      </c>
      <c r="I44" s="397">
        <f t="shared" si="24"/>
        <v>3.8000000000000006E-2</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8" thickBot="1" x14ac:dyDescent="0.3">
      <c r="A45" s="264" t="s">
        <v>240</v>
      </c>
      <c r="B45" s="281">
        <f>CHOOSE(VARIANT, 50, 50, 50, 200, 200)</f>
        <v>50</v>
      </c>
      <c r="C45" s="253" t="s">
        <v>15</v>
      </c>
      <c r="D45" s="283">
        <f>B45/1000000000000</f>
        <v>5.0000000000000002E-11</v>
      </c>
      <c r="E45" s="151" t="s">
        <v>327</v>
      </c>
      <c r="H45" s="150">
        <v>39</v>
      </c>
      <c r="I45" s="397">
        <f t="shared" si="24"/>
        <v>3.9000000000000007E-2</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5">
      <c r="A46" s="280" t="s">
        <v>326</v>
      </c>
      <c r="B46" s="281">
        <f>CHOOSE(VARIANT, 50, 50, 50, 250, 250)</f>
        <v>50</v>
      </c>
      <c r="C46" s="253" t="s">
        <v>15</v>
      </c>
      <c r="D46" s="255">
        <f>B46/1000000000000</f>
        <v>5.0000000000000002E-11</v>
      </c>
      <c r="E46" s="151" t="s">
        <v>479</v>
      </c>
      <c r="H46" s="150">
        <v>40</v>
      </c>
      <c r="I46" s="397">
        <f t="shared" si="24"/>
        <v>4.0000000000000008E-2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8" thickBot="1" x14ac:dyDescent="0.3">
      <c r="A47" s="273" t="s">
        <v>404</v>
      </c>
      <c r="B47" s="284"/>
      <c r="C47" s="273" t="s">
        <v>33</v>
      </c>
      <c r="D47" s="273" t="s">
        <v>90</v>
      </c>
      <c r="E47" s="285" t="s">
        <v>41</v>
      </c>
      <c r="H47" s="150">
        <v>41</v>
      </c>
      <c r="I47" s="397">
        <f t="shared" si="24"/>
        <v>4.1000000000000002E-2</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8" thickBot="1" x14ac:dyDescent="0.3">
      <c r="A48" s="280" t="s">
        <v>659</v>
      </c>
      <c r="B48" s="281">
        <f>'LM(2)518x PSR flyback converter'!E42</f>
        <v>0.32</v>
      </c>
      <c r="C48" s="151" t="s">
        <v>0</v>
      </c>
      <c r="D48" s="151">
        <f>B48</f>
        <v>0.32</v>
      </c>
      <c r="E48" s="151" t="s">
        <v>658</v>
      </c>
      <c r="H48" s="150">
        <v>42</v>
      </c>
      <c r="I48" s="397">
        <f t="shared" si="24"/>
        <v>4.2000000000000003E-2</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8" thickBot="1" x14ac:dyDescent="0.3">
      <c r="A49" s="280" t="s">
        <v>660</v>
      </c>
      <c r="B49" s="281">
        <f>'LM(2)518x PSR flyback converter'!E43</f>
        <v>0.4</v>
      </c>
      <c r="C49" s="151" t="s">
        <v>0</v>
      </c>
      <c r="D49" s="151">
        <f>B49</f>
        <v>0.4</v>
      </c>
      <c r="E49" s="151" t="s">
        <v>657</v>
      </c>
      <c r="H49" s="150">
        <v>43</v>
      </c>
      <c r="I49" s="397">
        <f t="shared" si="24"/>
        <v>4.3000000000000003E-2</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8" thickBot="1" x14ac:dyDescent="0.3">
      <c r="A50" s="280" t="s">
        <v>268</v>
      </c>
      <c r="B50" s="281">
        <f>(B49-B48)/Iout</f>
        <v>0.80000000000000016</v>
      </c>
      <c r="C50" s="247" t="s">
        <v>45</v>
      </c>
      <c r="D50" s="151">
        <f>B50</f>
        <v>0.80000000000000016</v>
      </c>
      <c r="E50" s="151" t="s">
        <v>811</v>
      </c>
      <c r="H50" s="150">
        <v>44</v>
      </c>
      <c r="I50" s="397">
        <f t="shared" si="24"/>
        <v>4.4000000000000004E-2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8" thickBot="1" x14ac:dyDescent="0.3">
      <c r="A51" s="264" t="s">
        <v>407</v>
      </c>
      <c r="B51" s="281">
        <v>2</v>
      </c>
      <c r="C51" s="253" t="s">
        <v>31</v>
      </c>
      <c r="D51" s="255">
        <f>B51*0.000000001</f>
        <v>2.0000000000000001E-9</v>
      </c>
      <c r="E51" s="151" t="s">
        <v>269</v>
      </c>
      <c r="H51" s="150">
        <v>45</v>
      </c>
      <c r="I51" s="397">
        <f t="shared" si="24"/>
        <v>4.5000000000000005E-2</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8" thickBot="1" x14ac:dyDescent="0.3">
      <c r="A52" s="264" t="s">
        <v>408</v>
      </c>
      <c r="B52" s="281">
        <v>10</v>
      </c>
      <c r="C52" s="253" t="s">
        <v>32</v>
      </c>
      <c r="D52" s="255">
        <f>B52*0.000000001</f>
        <v>1E-8</v>
      </c>
      <c r="E52" s="151" t="s">
        <v>270</v>
      </c>
      <c r="H52" s="150">
        <v>46</v>
      </c>
      <c r="I52" s="397">
        <f t="shared" si="24"/>
        <v>4.6000000000000006E-2</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5">
      <c r="A53" s="280" t="s">
        <v>497</v>
      </c>
      <c r="B53" s="281">
        <v>0</v>
      </c>
      <c r="C53" s="151" t="s">
        <v>271</v>
      </c>
      <c r="D53" s="255">
        <f>B53/1000000</f>
        <v>0</v>
      </c>
      <c r="E53" s="151" t="s">
        <v>272</v>
      </c>
      <c r="H53" s="150">
        <v>47</v>
      </c>
      <c r="I53" s="397">
        <f t="shared" si="24"/>
        <v>4.7E-2</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5">
      <c r="A54" s="150" t="s">
        <v>691</v>
      </c>
      <c r="B54" s="175">
        <f>'LM(2)518x PSR flyback converter'!E44</f>
        <v>41</v>
      </c>
      <c r="C54" s="552" t="s">
        <v>84</v>
      </c>
      <c r="D54" s="175">
        <f>B54</f>
        <v>41</v>
      </c>
      <c r="E54" s="150" t="s">
        <v>690</v>
      </c>
      <c r="H54" s="150">
        <v>48</v>
      </c>
      <c r="I54" s="397">
        <f t="shared" si="24"/>
        <v>4.8000000000000001E-2</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5">
      <c r="H55" s="150">
        <v>49</v>
      </c>
      <c r="I55" s="397">
        <f t="shared" si="24"/>
        <v>4.9000000000000002E-2</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5">
      <c r="H56" s="150">
        <v>50</v>
      </c>
      <c r="I56" s="397">
        <f t="shared" si="24"/>
        <v>0.05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5">
      <c r="H57" s="150">
        <v>51</v>
      </c>
      <c r="I57" s="397">
        <f t="shared" si="24"/>
        <v>5.1000000000000004E-2</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5">
      <c r="H58" s="150">
        <v>52</v>
      </c>
      <c r="I58" s="397">
        <f t="shared" si="24"/>
        <v>5.2000000000000005E-2</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5">
      <c r="H59" s="150">
        <v>53</v>
      </c>
      <c r="I59" s="397">
        <f t="shared" si="24"/>
        <v>5.3000000000000005E-2</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5">
      <c r="H60" s="150">
        <v>54</v>
      </c>
      <c r="I60" s="397">
        <f t="shared" si="24"/>
        <v>5.4000000000000006E-2</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5">
      <c r="H61" s="150">
        <v>55</v>
      </c>
      <c r="I61" s="397">
        <f t="shared" si="24"/>
        <v>5.5000000000000007E-2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5">
      <c r="H62" s="150">
        <v>56</v>
      </c>
      <c r="I62" s="397">
        <f t="shared" si="24"/>
        <v>5.6000000000000008E-2</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5">
      <c r="F63" s="263" t="s">
        <v>273</v>
      </c>
      <c r="G63" s="263" t="s">
        <v>274</v>
      </c>
      <c r="H63" s="150">
        <v>57</v>
      </c>
      <c r="I63" s="397">
        <f t="shared" si="24"/>
        <v>5.6999999999999995E-2</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5">
      <c r="F64" s="286">
        <f>BM56</f>
        <v>0</v>
      </c>
      <c r="G64" s="287">
        <f>I56*1000</f>
        <v>50</v>
      </c>
      <c r="H64" s="150">
        <v>58</v>
      </c>
      <c r="I64" s="397">
        <f t="shared" si="24"/>
        <v>5.7999999999999996E-2</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5">
      <c r="F65" s="286">
        <f>BM81</f>
        <v>0</v>
      </c>
      <c r="G65" s="287">
        <f>I81*1000</f>
        <v>75.000000000000014</v>
      </c>
      <c r="H65" s="150">
        <v>59</v>
      </c>
      <c r="I65" s="397">
        <f t="shared" si="24"/>
        <v>5.8999999999999997E-2</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5">
      <c r="F66" s="286">
        <f>BM106</f>
        <v>100</v>
      </c>
      <c r="G66" s="287">
        <f>I106*1000</f>
        <v>100</v>
      </c>
      <c r="H66" s="150">
        <v>60</v>
      </c>
      <c r="I66" s="397">
        <f t="shared" si="24"/>
        <v>0.06</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5">
      <c r="H67" s="150">
        <v>61</v>
      </c>
      <c r="I67" s="397">
        <f t="shared" si="24"/>
        <v>6.0999999999999999E-2</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5">
      <c r="H68" s="150">
        <v>62</v>
      </c>
      <c r="I68" s="397">
        <f t="shared" si="24"/>
        <v>6.2E-2</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5">
      <c r="H69" s="150">
        <v>63</v>
      </c>
      <c r="I69" s="397">
        <f t="shared" si="24"/>
        <v>6.3E-2</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5">
      <c r="H70" s="150">
        <v>64</v>
      </c>
      <c r="I70" s="397">
        <f t="shared" ref="I70:I101" si="25">IF(PLOT_TYPE=1, H70/100*Iout_max, min_I*EXP(H70*rr/100))</f>
        <v>6.4000000000000001E-2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5">
      <c r="H71" s="150">
        <v>65</v>
      </c>
      <c r="I71" s="397">
        <f t="shared" si="25"/>
        <v>6.5000000000000002E-2</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5">
      <c r="H72" s="150">
        <v>66</v>
      </c>
      <c r="I72" s="397">
        <f t="shared" si="25"/>
        <v>6.6000000000000003E-2</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5">
      <c r="H73" s="150">
        <v>67</v>
      </c>
      <c r="I73" s="397">
        <f t="shared" si="25"/>
        <v>6.7000000000000004E-2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5">
      <c r="H74" s="150">
        <v>68</v>
      </c>
      <c r="I74" s="397">
        <f t="shared" si="25"/>
        <v>6.8000000000000005E-2</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5">
      <c r="H75" s="150">
        <v>69</v>
      </c>
      <c r="I75" s="397">
        <f t="shared" si="25"/>
        <v>6.8999999999999992E-2</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5">
      <c r="H76" s="150">
        <v>70</v>
      </c>
      <c r="I76" s="397">
        <f t="shared" si="25"/>
        <v>6.9999999999999993E-2</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5">
      <c r="H77" s="150">
        <v>71</v>
      </c>
      <c r="I77" s="397">
        <f t="shared" si="25"/>
        <v>7.0999999999999994E-2</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5">
      <c r="H78" s="150">
        <v>72</v>
      </c>
      <c r="I78" s="397">
        <f t="shared" si="25"/>
        <v>7.1999999999999995E-2</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5">
      <c r="H79" s="150">
        <v>73</v>
      </c>
      <c r="I79" s="397">
        <f t="shared" si="25"/>
        <v>7.2999999999999995E-2</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5">
      <c r="H80" s="150">
        <v>74</v>
      </c>
      <c r="I80" s="397">
        <f t="shared" si="25"/>
        <v>7.3999999999999996E-2</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5">
      <c r="H81" s="150">
        <v>75</v>
      </c>
      <c r="I81" s="397">
        <f t="shared" si="25"/>
        <v>7.5000000000000011E-2</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5">
      <c r="H82" s="150">
        <v>76</v>
      </c>
      <c r="I82" s="397">
        <f t="shared" si="25"/>
        <v>7.6000000000000012E-2</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5">
      <c r="H83" s="150">
        <v>77</v>
      </c>
      <c r="I83" s="397">
        <f t="shared" si="25"/>
        <v>7.7000000000000013E-2</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5">
      <c r="H84" s="150">
        <v>78</v>
      </c>
      <c r="I84" s="397">
        <f t="shared" si="25"/>
        <v>7.8000000000000014E-2</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5">
      <c r="H85" s="150">
        <v>79</v>
      </c>
      <c r="I85" s="397">
        <f t="shared" si="25"/>
        <v>7.9000000000000015E-2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5">
      <c r="H86" s="150">
        <v>80</v>
      </c>
      <c r="I86" s="397">
        <f t="shared" si="25"/>
        <v>8.0000000000000016E-2</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5">
      <c r="H87" s="150">
        <v>81</v>
      </c>
      <c r="I87" s="397">
        <f t="shared" si="25"/>
        <v>8.1000000000000016E-2</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5">
      <c r="F88" s="263" t="s">
        <v>273</v>
      </c>
      <c r="G88" s="263" t="s">
        <v>274</v>
      </c>
      <c r="H88" s="150">
        <v>82</v>
      </c>
      <c r="I88" s="397">
        <f t="shared" si="25"/>
        <v>8.2000000000000003E-2</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5">
      <c r="F89" s="286">
        <f>BO51</f>
        <v>0</v>
      </c>
      <c r="G89" s="287">
        <f>I56*1000</f>
        <v>50</v>
      </c>
      <c r="H89" s="150">
        <v>83</v>
      </c>
      <c r="I89" s="397">
        <f t="shared" si="25"/>
        <v>8.3000000000000004E-2</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5">
      <c r="F90" s="286">
        <f>BO81</f>
        <v>0</v>
      </c>
      <c r="G90" s="287">
        <f>I81*1000</f>
        <v>75.000000000000014</v>
      </c>
      <c r="H90" s="150">
        <v>84</v>
      </c>
      <c r="I90" s="397">
        <f t="shared" si="25"/>
        <v>8.4000000000000005E-2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5">
      <c r="F91" s="286">
        <f>BO106</f>
        <v>88.698181382326453</v>
      </c>
      <c r="G91" s="287">
        <f>I106*1000</f>
        <v>100</v>
      </c>
      <c r="H91" s="150">
        <v>85</v>
      </c>
      <c r="I91" s="397">
        <f t="shared" si="25"/>
        <v>8.5000000000000006E-2</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5">
      <c r="H92" s="150">
        <v>86</v>
      </c>
      <c r="I92" s="397">
        <f t="shared" si="25"/>
        <v>8.6000000000000007E-2</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5">
      <c r="H93" s="150">
        <v>87</v>
      </c>
      <c r="I93" s="397">
        <f t="shared" si="25"/>
        <v>8.7000000000000008E-2</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5">
      <c r="H94" s="150">
        <v>88</v>
      </c>
      <c r="I94" s="397">
        <f t="shared" si="25"/>
        <v>8.8000000000000009E-2</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5">
      <c r="H95" s="150">
        <v>89</v>
      </c>
      <c r="I95" s="397">
        <f t="shared" si="25"/>
        <v>8.900000000000001E-2</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5">
      <c r="H96" s="150">
        <v>90</v>
      </c>
      <c r="I96" s="397">
        <f t="shared" si="25"/>
        <v>9.0000000000000011E-2</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5">
      <c r="H97" s="150">
        <v>91</v>
      </c>
      <c r="I97" s="397">
        <f t="shared" si="25"/>
        <v>9.1000000000000011E-2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5">
      <c r="H98" s="150">
        <v>92</v>
      </c>
      <c r="I98" s="397">
        <f t="shared" si="25"/>
        <v>9.2000000000000012E-2</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5">
      <c r="H99" s="150">
        <v>93</v>
      </c>
      <c r="I99" s="397">
        <f t="shared" si="25"/>
        <v>9.3000000000000013E-2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5">
      <c r="H100" s="150">
        <v>94</v>
      </c>
      <c r="I100" s="397">
        <f t="shared" si="25"/>
        <v>9.4E-2</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5">
      <c r="H101" s="150">
        <v>95</v>
      </c>
      <c r="I101" s="397">
        <f t="shared" si="25"/>
        <v>9.5000000000000001E-2</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5">
      <c r="H102" s="150">
        <v>96</v>
      </c>
      <c r="I102" s="397">
        <f t="shared" ref="I102:I106" si="26">IF(PLOT_TYPE=1, H102/100*Iout_max, min_I*EXP(H102*rr/100))</f>
        <v>9.6000000000000002E-2</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5">
      <c r="H103" s="150">
        <v>97</v>
      </c>
      <c r="I103" s="397">
        <f t="shared" si="26"/>
        <v>9.7000000000000003E-2</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5">
      <c r="H104" s="150">
        <v>98</v>
      </c>
      <c r="I104" s="397">
        <f t="shared" si="26"/>
        <v>9.8000000000000004E-2</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5">
      <c r="H105" s="150">
        <v>99</v>
      </c>
      <c r="I105" s="397">
        <f t="shared" si="26"/>
        <v>9.9000000000000005E-2</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5">
      <c r="H106" s="150">
        <v>100</v>
      </c>
      <c r="I106" s="397">
        <f t="shared" si="26"/>
        <v>0.1</v>
      </c>
      <c r="J106" s="191"/>
      <c r="K106" s="191"/>
      <c r="L106" s="191"/>
      <c r="M106" s="191"/>
      <c r="N106" s="239"/>
      <c r="O106" s="152"/>
      <c r="P106" s="191"/>
      <c r="Q106" s="386"/>
      <c r="S106" s="240"/>
      <c r="T106" s="240"/>
      <c r="U106" s="240"/>
      <c r="AJ106" s="386"/>
      <c r="AY106" s="190">
        <f>Vout*I106</f>
        <v>2</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100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5">
      <c r="BQ107" s="242"/>
      <c r="BR107" s="243"/>
      <c r="BS107" s="243"/>
      <c r="BT107" s="243"/>
      <c r="BX107" s="193"/>
      <c r="BY107" s="193"/>
    </row>
    <row r="108" spans="8:81" x14ac:dyDescent="0.25">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5">
      <c r="H109" s="238">
        <f>Iout_max</f>
        <v>0.1</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5">
      <c r="H110" s="238">
        <f>LOG(max_I/min_I,EXP(1))</f>
        <v>9.2103403719761836</v>
      </c>
      <c r="I110" s="191"/>
      <c r="J110" s="190" t="s">
        <v>278</v>
      </c>
    </row>
    <row r="111" spans="8:81" x14ac:dyDescent="0.25">
      <c r="AZ111" s="289"/>
      <c r="BA111" s="306"/>
      <c r="BB111" s="306"/>
      <c r="BC111" s="306"/>
      <c r="BD111" s="306"/>
      <c r="BE111" s="306"/>
      <c r="BF111" s="306"/>
      <c r="BG111" s="306"/>
      <c r="BH111" s="306"/>
      <c r="BI111" s="306"/>
      <c r="BJ111" s="306"/>
    </row>
    <row r="112" spans="8:81" x14ac:dyDescent="0.25">
      <c r="J112" s="290"/>
      <c r="R112" s="291"/>
      <c r="S112" s="291"/>
      <c r="T112" s="291"/>
      <c r="U112" s="291"/>
      <c r="V112" s="292"/>
    </row>
    <row r="113" spans="10:22" x14ac:dyDescent="0.25">
      <c r="J113" s="290"/>
      <c r="R113" s="291"/>
      <c r="S113" s="291"/>
      <c r="T113" s="291"/>
      <c r="U113" s="291"/>
      <c r="V113" s="292"/>
    </row>
    <row r="114" spans="10:22" x14ac:dyDescent="0.25">
      <c r="R114" s="291"/>
      <c r="S114" s="291"/>
      <c r="T114" s="291"/>
      <c r="U114" s="291"/>
      <c r="V114" s="292"/>
    </row>
    <row r="116" spans="10:22" x14ac:dyDescent="0.25">
      <c r="R116" s="291"/>
      <c r="S116" s="291"/>
      <c r="T116" s="291"/>
      <c r="U116" s="291"/>
      <c r="V116" s="292"/>
    </row>
    <row r="126" spans="10:22" x14ac:dyDescent="0.25">
      <c r="J126" s="150"/>
    </row>
    <row r="127" spans="10:22" x14ac:dyDescent="0.25">
      <c r="J127" s="150"/>
    </row>
    <row r="128" spans="10:22" x14ac:dyDescent="0.25">
      <c r="J128" s="150"/>
    </row>
    <row r="129" spans="10:10" x14ac:dyDescent="0.25">
      <c r="J129" s="191"/>
    </row>
    <row r="130" spans="10:10" x14ac:dyDescent="0.25">
      <c r="J130" s="191"/>
    </row>
    <row r="131" spans="10:10" x14ac:dyDescent="0.25">
      <c r="J131" s="191"/>
    </row>
    <row r="132" spans="10:10" x14ac:dyDescent="0.25">
      <c r="J132" s="191"/>
    </row>
    <row r="133" spans="10:10" x14ac:dyDescent="0.25">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182880</xdr:colOff>
                <xdr:row>111</xdr:row>
                <xdr:rowOff>144780</xdr:rowOff>
              </from>
              <to>
                <xdr:col>36</xdr:col>
                <xdr:colOff>22860</xdr:colOff>
                <xdr:row>125</xdr:row>
                <xdr:rowOff>144780</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2024-11-05T05:21:27Z</dcterms:modified>
</cp:coreProperties>
</file>